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chaelkimble/Desktop/Symington Lab/Manuscripts/Kimble/Resection &amp; Recombination/Submission/Resubmission/Source data/"/>
    </mc:Choice>
  </mc:AlternateContent>
  <xr:revisionPtr revIDLastSave="0" documentId="8_{F734E66C-25C4-B044-98E7-A3AAFBDFBDDD}" xr6:coauthVersionLast="36" xr6:coauthVersionMax="36" xr10:uidLastSave="{00000000-0000-0000-0000-000000000000}"/>
  <bookViews>
    <workbookView xWindow="640" yWindow="2920" windowWidth="27640" windowHeight="16120" xr2:uid="{0EB47A37-FEC5-6F46-BB8C-4BED18F7D2F9}"/>
  </bookViews>
  <sheets>
    <sheet name="Intrachromosomal rad51∆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2" l="1"/>
  <c r="F2" i="2"/>
  <c r="H2" i="2"/>
  <c r="I2" i="2"/>
  <c r="J2" i="2" s="1"/>
  <c r="K2" i="2" s="1"/>
  <c r="B65" i="2" s="1"/>
  <c r="E3" i="2"/>
  <c r="H3" i="2"/>
  <c r="E4" i="2"/>
  <c r="F4" i="2"/>
  <c r="H4" i="2"/>
  <c r="I4" i="2"/>
  <c r="J4" i="2"/>
  <c r="K4" i="2"/>
  <c r="E5" i="2"/>
  <c r="H5" i="2"/>
  <c r="S5" i="2"/>
  <c r="S23" i="2" s="1"/>
  <c r="AC14" i="2" s="1"/>
  <c r="AC23" i="2" s="1"/>
  <c r="E6" i="2"/>
  <c r="F6" i="2"/>
  <c r="H6" i="2"/>
  <c r="I6" i="2"/>
  <c r="T5" i="2" s="1"/>
  <c r="J6" i="2"/>
  <c r="K6" i="2"/>
  <c r="T6" i="2"/>
  <c r="AD34" i="2" s="1"/>
  <c r="E7" i="2"/>
  <c r="H7" i="2"/>
  <c r="R7" i="2"/>
  <c r="S7" i="2"/>
  <c r="AC35" i="2" s="1"/>
  <c r="E8" i="2"/>
  <c r="F8" i="2"/>
  <c r="H8" i="2"/>
  <c r="I8" i="2"/>
  <c r="U5" i="2" s="1"/>
  <c r="U23" i="2" s="1"/>
  <c r="AE14" i="2" s="1"/>
  <c r="J8" i="2"/>
  <c r="K8" i="2"/>
  <c r="E9" i="2"/>
  <c r="H9" i="2"/>
  <c r="E14" i="2"/>
  <c r="F14" i="2"/>
  <c r="H14" i="2"/>
  <c r="I14" i="2"/>
  <c r="R6" i="2" s="1"/>
  <c r="J14" i="2"/>
  <c r="K14" i="2" s="1"/>
  <c r="E15" i="2"/>
  <c r="H15" i="2"/>
  <c r="E16" i="2"/>
  <c r="F16" i="2"/>
  <c r="H16" i="2"/>
  <c r="I16" i="2"/>
  <c r="S6" i="2" s="1"/>
  <c r="J16" i="2"/>
  <c r="K16" i="2"/>
  <c r="E17" i="2"/>
  <c r="H17" i="2"/>
  <c r="E18" i="2"/>
  <c r="F18" i="2"/>
  <c r="I18" i="2"/>
  <c r="J18" i="2"/>
  <c r="K18" i="2"/>
  <c r="AD24" i="2" s="1"/>
  <c r="E19" i="2"/>
  <c r="H19" i="2"/>
  <c r="E20" i="2"/>
  <c r="F20" i="2"/>
  <c r="H20" i="2"/>
  <c r="I20" i="2"/>
  <c r="E21" i="2"/>
  <c r="H21" i="2"/>
  <c r="T24" i="2"/>
  <c r="AD15" i="2" s="1"/>
  <c r="R25" i="2"/>
  <c r="S25" i="2"/>
  <c r="AC16" i="2" s="1"/>
  <c r="AC25" i="2" s="1"/>
  <c r="E26" i="2"/>
  <c r="F26" i="2"/>
  <c r="H26" i="2"/>
  <c r="I26" i="2"/>
  <c r="J26" i="2"/>
  <c r="K26" i="2"/>
  <c r="M26" i="2" s="1"/>
  <c r="L26" i="2"/>
  <c r="E27" i="2"/>
  <c r="H27" i="2"/>
  <c r="E28" i="2"/>
  <c r="F28" i="2"/>
  <c r="H28" i="2"/>
  <c r="I28" i="2"/>
  <c r="J28" i="2"/>
  <c r="K28" i="2"/>
  <c r="E29" i="2"/>
  <c r="H29" i="2"/>
  <c r="E30" i="2"/>
  <c r="F30" i="2"/>
  <c r="H30" i="2"/>
  <c r="I30" i="2"/>
  <c r="T7" i="2" s="1"/>
  <c r="J30" i="2"/>
  <c r="K30" i="2"/>
  <c r="E31" i="2"/>
  <c r="H31" i="2"/>
  <c r="AC33" i="2"/>
  <c r="AD33" i="2"/>
  <c r="AC34" i="2"/>
  <c r="AB35" i="2"/>
  <c r="E36" i="2"/>
  <c r="F36" i="2"/>
  <c r="H36" i="2"/>
  <c r="I36" i="2"/>
  <c r="S8" i="2" s="1"/>
  <c r="AC60" i="2" s="1"/>
  <c r="J36" i="2"/>
  <c r="K36" i="2" s="1"/>
  <c r="E37" i="2"/>
  <c r="H37" i="2"/>
  <c r="E38" i="2"/>
  <c r="F38" i="2"/>
  <c r="H38" i="2"/>
  <c r="I38" i="2"/>
  <c r="J38" i="2"/>
  <c r="K38" i="2"/>
  <c r="E39" i="2"/>
  <c r="H39" i="2"/>
  <c r="E40" i="2"/>
  <c r="F40" i="2"/>
  <c r="H40" i="2"/>
  <c r="I40" i="2"/>
  <c r="T8" i="2" s="1"/>
  <c r="J40" i="2"/>
  <c r="K40" i="2"/>
  <c r="E41" i="2"/>
  <c r="H41" i="2"/>
  <c r="AC41" i="2"/>
  <c r="AD41" i="2"/>
  <c r="AC42" i="2"/>
  <c r="AB43" i="2"/>
  <c r="E46" i="2"/>
  <c r="F46" i="2"/>
  <c r="H46" i="2"/>
  <c r="I46" i="2"/>
  <c r="J46" i="2" s="1"/>
  <c r="K46" i="2" s="1"/>
  <c r="E47" i="2"/>
  <c r="H47" i="2"/>
  <c r="E48" i="2"/>
  <c r="F48" i="2"/>
  <c r="H48" i="2"/>
  <c r="I48" i="2"/>
  <c r="J48" i="2"/>
  <c r="K48" i="2"/>
  <c r="E49" i="2"/>
  <c r="H49" i="2"/>
  <c r="AC49" i="2"/>
  <c r="AD49" i="2"/>
  <c r="E50" i="2"/>
  <c r="F50" i="2"/>
  <c r="H50" i="2"/>
  <c r="I50" i="2"/>
  <c r="T9" i="2" s="1"/>
  <c r="J50" i="2"/>
  <c r="K50" i="2" s="1"/>
  <c r="AD50" i="2"/>
  <c r="E51" i="2"/>
  <c r="H51" i="2"/>
  <c r="AB51" i="2"/>
  <c r="E52" i="2"/>
  <c r="F52" i="2"/>
  <c r="H52" i="2"/>
  <c r="I52" i="2"/>
  <c r="U9" i="2" s="1"/>
  <c r="J52" i="2"/>
  <c r="K52" i="2" s="1"/>
  <c r="AD52" i="2"/>
  <c r="E53" i="2"/>
  <c r="H53" i="2"/>
  <c r="E54" i="2"/>
  <c r="F54" i="2"/>
  <c r="H54" i="2"/>
  <c r="I54" i="2"/>
  <c r="V9" i="2" s="1"/>
  <c r="AF53" i="2" s="1"/>
  <c r="E55" i="2"/>
  <c r="H55" i="2"/>
  <c r="E56" i="2"/>
  <c r="F56" i="2"/>
  <c r="H56" i="2"/>
  <c r="I56" i="2"/>
  <c r="W9" i="2" s="1"/>
  <c r="J56" i="2"/>
  <c r="K56" i="2" s="1"/>
  <c r="E57" i="2"/>
  <c r="H57" i="2"/>
  <c r="AC57" i="2"/>
  <c r="AE57" i="2"/>
  <c r="E58" i="2"/>
  <c r="F58" i="2"/>
  <c r="H58" i="2"/>
  <c r="I58" i="2"/>
  <c r="X9" i="2" s="1"/>
  <c r="J58" i="2"/>
  <c r="K58" i="2" s="1"/>
  <c r="AB58" i="2"/>
  <c r="AC58" i="2"/>
  <c r="AD58" i="2"/>
  <c r="E59" i="2"/>
  <c r="H59" i="2"/>
  <c r="AB59" i="2"/>
  <c r="AC59" i="2"/>
  <c r="AI59" i="2" s="1"/>
  <c r="AD59" i="2"/>
  <c r="AD60" i="2"/>
  <c r="AD61" i="2"/>
  <c r="AE61" i="2"/>
  <c r="AG61" i="2"/>
  <c r="AH61" i="2"/>
  <c r="B66" i="2"/>
  <c r="B70" i="2"/>
  <c r="M46" i="2" l="1"/>
  <c r="AG45" i="2"/>
  <c r="AG53" i="2"/>
  <c r="AG37" i="2"/>
  <c r="AE37" i="2"/>
  <c r="U27" i="2"/>
  <c r="AE18" i="2" s="1"/>
  <c r="AE45" i="2"/>
  <c r="T27" i="2"/>
  <c r="AD18" i="2" s="1"/>
  <c r="AD27" i="2" s="1"/>
  <c r="AD45" i="2"/>
  <c r="AD53" i="2"/>
  <c r="L14" i="2"/>
  <c r="AD57" i="2"/>
  <c r="T23" i="2"/>
  <c r="AD14" i="2" s="1"/>
  <c r="AD23" i="2" s="1"/>
  <c r="AF37" i="2"/>
  <c r="AF61" i="2"/>
  <c r="V27" i="2"/>
  <c r="AI35" i="2"/>
  <c r="T25" i="2"/>
  <c r="AD16" i="2" s="1"/>
  <c r="AD35" i="2"/>
  <c r="AD43" i="2"/>
  <c r="AD51" i="2"/>
  <c r="J20" i="2"/>
  <c r="K20" i="2" s="1"/>
  <c r="U6" i="2"/>
  <c r="L2" i="2"/>
  <c r="B64" i="2"/>
  <c r="M2" i="2"/>
  <c r="X27" i="2"/>
  <c r="AH18" i="2" s="1"/>
  <c r="AH27" i="2" s="1"/>
  <c r="AH45" i="2"/>
  <c r="AH53" i="2"/>
  <c r="AE53" i="2"/>
  <c r="AD36" i="2"/>
  <c r="AD44" i="2"/>
  <c r="AH37" i="2"/>
  <c r="AD25" i="2"/>
  <c r="W27" i="2"/>
  <c r="AG18" i="2" s="1"/>
  <c r="AG27" i="2" s="1"/>
  <c r="AB50" i="2"/>
  <c r="R24" i="2"/>
  <c r="AB34" i="2"/>
  <c r="AB42" i="2"/>
  <c r="AE33" i="2"/>
  <c r="AE41" i="2"/>
  <c r="AE49" i="2"/>
  <c r="AE27" i="2"/>
  <c r="AC36" i="2"/>
  <c r="AC44" i="2"/>
  <c r="S26" i="2"/>
  <c r="AC17" i="2" s="1"/>
  <c r="AC26" i="2" s="1"/>
  <c r="AE23" i="2"/>
  <c r="J54" i="2"/>
  <c r="K54" i="2" s="1"/>
  <c r="AC52" i="2"/>
  <c r="R9" i="2"/>
  <c r="S9" i="2"/>
  <c r="AF45" i="2"/>
  <c r="AD37" i="2"/>
  <c r="L36" i="2"/>
  <c r="M36" i="2"/>
  <c r="T26" i="2"/>
  <c r="AD17" i="2" s="1"/>
  <c r="AD26" i="2" s="1"/>
  <c r="AC50" i="2"/>
  <c r="S24" i="2"/>
  <c r="AC15" i="2" s="1"/>
  <c r="AC24" i="2" s="1"/>
  <c r="AB16" i="2"/>
  <c r="AB25" i="2" s="1"/>
  <c r="R8" i="2"/>
  <c r="B68" i="2"/>
  <c r="R5" i="2"/>
  <c r="AC51" i="2"/>
  <c r="AI51" i="2" s="1"/>
  <c r="AC43" i="2"/>
  <c r="AI43" i="2" s="1"/>
  <c r="AD42" i="2"/>
  <c r="R23" i="2" l="1"/>
  <c r="AB33" i="2"/>
  <c r="AI33" i="2" s="1"/>
  <c r="AB41" i="2"/>
  <c r="AI41" i="2" s="1"/>
  <c r="AB49" i="2"/>
  <c r="AI49" i="2" s="1"/>
  <c r="AB57" i="2"/>
  <c r="AI57" i="2" s="1"/>
  <c r="AF18" i="2"/>
  <c r="AF27" i="2" s="1"/>
  <c r="Y25" i="2"/>
  <c r="B69" i="2"/>
  <c r="AC45" i="2"/>
  <c r="AC53" i="2"/>
  <c r="AC37" i="2"/>
  <c r="S27" i="2"/>
  <c r="AC18" i="2" s="1"/>
  <c r="AC27" i="2" s="1"/>
  <c r="AC61" i="2"/>
  <c r="B67" i="2"/>
  <c r="AB15" i="2"/>
  <c r="AB24" i="2" s="1"/>
  <c r="Y24" i="2"/>
  <c r="U24" i="2"/>
  <c r="AE15" i="2" s="1"/>
  <c r="AE34" i="2"/>
  <c r="AI34" i="2" s="1"/>
  <c r="AE42" i="2"/>
  <c r="AI42" i="2" s="1"/>
  <c r="AE58" i="2"/>
  <c r="AI58" i="2" s="1"/>
  <c r="AE50" i="2"/>
  <c r="R26" i="2"/>
  <c r="AB52" i="2"/>
  <c r="AI52" i="2" s="1"/>
  <c r="AB60" i="2"/>
  <c r="AI60" i="2" s="1"/>
  <c r="AB36" i="2"/>
  <c r="AI36" i="2" s="1"/>
  <c r="AB44" i="2"/>
  <c r="AI44" i="2" s="1"/>
  <c r="AB37" i="2"/>
  <c r="AB61" i="2"/>
  <c r="AI61" i="2" s="1"/>
  <c r="R27" i="2"/>
  <c r="AB53" i="2"/>
  <c r="AI53" i="2" s="1"/>
  <c r="AB45" i="2"/>
  <c r="AI45" i="2" s="1"/>
  <c r="AI50" i="2"/>
  <c r="AE24" i="2"/>
  <c r="M14" i="2"/>
  <c r="L46" i="2"/>
  <c r="AB18" i="2" l="1"/>
  <c r="AB27" i="2" s="1"/>
  <c r="Y27" i="2"/>
  <c r="AB17" i="2"/>
  <c r="AB26" i="2" s="1"/>
  <c r="Y26" i="2"/>
  <c r="AI37" i="2"/>
  <c r="Y23" i="2"/>
  <c r="AB14" i="2"/>
  <c r="AB23" i="2" s="1"/>
</calcChain>
</file>

<file path=xl/sharedStrings.xml><?xml version="1.0" encoding="utf-8"?>
<sst xmlns="http://schemas.openxmlformats.org/spreadsheetml/2006/main" count="171" uniqueCount="51">
  <si>
    <t>ns</t>
  </si>
  <si>
    <t>rad51∆ exo1∆-rad51∆ sgs1∆</t>
  </si>
  <si>
    <t>**</t>
  </si>
  <si>
    <t>rad51∆ sgs1∆-rad51∆ exo1∆ sgs1∆</t>
  </si>
  <si>
    <t>rad51∆ exo1∆-rad51∆ exo1∆ sgs1∆</t>
  </si>
  <si>
    <t>***</t>
  </si>
  <si>
    <t>rad51∆-rad51∆ exo1∆ sgs1∆</t>
  </si>
  <si>
    <t>rad51∆-rad51∆ sgs1∆</t>
  </si>
  <si>
    <t>rad51∆-rad51∆ exo1∆</t>
  </si>
  <si>
    <t>rad51∆-rad51∆ mre11∆</t>
  </si>
  <si>
    <t>Indicator</t>
  </si>
  <si>
    <t>p-value</t>
  </si>
  <si>
    <t>Genotypes compared</t>
  </si>
  <si>
    <t>exo1 sgs1</t>
  </si>
  <si>
    <t>sgs1</t>
  </si>
  <si>
    <t>exo1</t>
  </si>
  <si>
    <t>mre11</t>
  </si>
  <si>
    <t>WT</t>
  </si>
  <si>
    <t>Average</t>
  </si>
  <si>
    <t>Fraction Trp- Ade-</t>
  </si>
  <si>
    <t>Trp- Ade-</t>
  </si>
  <si>
    <t>Fraction Trp- Ade+</t>
  </si>
  <si>
    <t>Trp- Ade+</t>
  </si>
  <si>
    <r>
      <t xml:space="preserve">Intra </t>
    </r>
    <r>
      <rPr>
        <i/>
        <sz val="12"/>
        <color theme="1"/>
        <rFont val="Calibri"/>
        <family val="2"/>
        <scheme val="minor"/>
      </rPr>
      <t>rad51 exo1 sgs1</t>
    </r>
  </si>
  <si>
    <t>ST DEV</t>
  </si>
  <si>
    <t>Average survival frequency</t>
  </si>
  <si>
    <t xml:space="preserve">Survival frequency </t>
  </si>
  <si>
    <t>Adjusted CFU (YPA + Gal)</t>
  </si>
  <si>
    <t>Average CFU (YPA + Gal)</t>
  </si>
  <si>
    <t>% red</t>
  </si>
  <si>
    <t>CFU (YPA + Gal)</t>
  </si>
  <si>
    <t>Average CFU (YPAD)</t>
  </si>
  <si>
    <t>% white</t>
  </si>
  <si>
    <t xml:space="preserve">CFU (YPAD) </t>
  </si>
  <si>
    <t>Plate</t>
  </si>
  <si>
    <t xml:space="preserve">Culture </t>
  </si>
  <si>
    <t>Genotype</t>
  </si>
  <si>
    <t>Fraction Trp+ Ade-</t>
  </si>
  <si>
    <t>Trp+ Ade-</t>
  </si>
  <si>
    <r>
      <t xml:space="preserve">Intra </t>
    </r>
    <r>
      <rPr>
        <i/>
        <sz val="12"/>
        <color theme="1"/>
        <rFont val="Calibri"/>
        <family val="2"/>
        <scheme val="minor"/>
      </rPr>
      <t>rad51 sgs1</t>
    </r>
  </si>
  <si>
    <t>Fraction Trp+ Ade+</t>
  </si>
  <si>
    <t>Trp+ Ade+</t>
  </si>
  <si>
    <t>For pie graphs:</t>
  </si>
  <si>
    <r>
      <t xml:space="preserve">Intra </t>
    </r>
    <r>
      <rPr>
        <i/>
        <sz val="12"/>
        <color theme="1"/>
        <rFont val="Calibri"/>
        <family val="2"/>
        <scheme val="minor"/>
      </rPr>
      <t>rad51</t>
    </r>
    <r>
      <rPr>
        <sz val="12"/>
        <color theme="1"/>
        <rFont val="Calibri"/>
        <family val="2"/>
        <scheme val="minor"/>
      </rPr>
      <t xml:space="preserve"> </t>
    </r>
    <r>
      <rPr>
        <i/>
        <sz val="12"/>
        <color theme="1"/>
        <rFont val="Calibri"/>
        <family val="2"/>
        <scheme val="minor"/>
      </rPr>
      <t>exo1</t>
    </r>
  </si>
  <si>
    <t>Trp- survival frequency</t>
  </si>
  <si>
    <t>Fraction Trp+ on YPA + Gal</t>
  </si>
  <si>
    <r>
      <t xml:space="preserve">Intra </t>
    </r>
    <r>
      <rPr>
        <i/>
        <sz val="12"/>
        <color theme="1"/>
        <rFont val="Calibri"/>
        <family val="2"/>
        <scheme val="minor"/>
      </rPr>
      <t>rad51</t>
    </r>
    <r>
      <rPr>
        <sz val="12"/>
        <color theme="1"/>
        <rFont val="Calibri"/>
        <family val="2"/>
        <scheme val="minor"/>
      </rPr>
      <t xml:space="preserve"> </t>
    </r>
    <r>
      <rPr>
        <i/>
        <sz val="12"/>
        <color theme="1"/>
        <rFont val="Calibri"/>
        <family val="2"/>
        <scheme val="minor"/>
      </rPr>
      <t>mre11</t>
    </r>
  </si>
  <si>
    <t>Trp+ survival frequency</t>
  </si>
  <si>
    <t>Trp+ on YPA + Gal</t>
  </si>
  <si>
    <t>CFU YPA + Gal</t>
  </si>
  <si>
    <r>
      <t xml:space="preserve">Intra </t>
    </r>
    <r>
      <rPr>
        <i/>
        <sz val="12"/>
        <color theme="1"/>
        <rFont val="Calibri"/>
        <family val="2"/>
        <scheme val="minor"/>
      </rPr>
      <t>rad51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</si>
</sst>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 applyAlignment="1">
      <alignment horizontal="center"/>
    </xf>
    <xf numFmtId="11" fontId="0" fillId="0" borderId="1" xfId="0" applyNumberFormat="1" applyBorder="1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1" xfId="0" applyFon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top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/>
    <xf numFmtId="0" fontId="1" fillId="0" borderId="1" xfId="0" applyFont="1" applyFill="1" applyBorder="1"/>
    <xf numFmtId="0" fontId="0" fillId="0" borderId="0" xfId="0" applyBorder="1"/>
    <xf numFmtId="0" fontId="1" fillId="0" borderId="0" xfId="0" applyFont="1" applyBorder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0" xfId="0" quotePrefix="1" applyFont="1"/>
    <xf numFmtId="0" fontId="0" fillId="0" borderId="1" xfId="0" applyFill="1" applyBorder="1"/>
    <xf numFmtId="0" fontId="0" fillId="0" borderId="0" xfId="0" quotePrefix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F0E0D0-DEF3-4A42-A2E0-7FC0119ECFD1}">
  <dimension ref="A1:AI70"/>
  <sheetViews>
    <sheetView tabSelected="1" zoomScale="70" zoomScaleNormal="70" workbookViewId="0"/>
  </sheetViews>
  <sheetFormatPr baseColWidth="10" defaultRowHeight="16" x14ac:dyDescent="0.2"/>
  <cols>
    <col min="1" max="1" width="30.1640625" bestFit="1" customWidth="1"/>
    <col min="2" max="2" width="8.6640625" bestFit="1" customWidth="1"/>
    <col min="3" max="3" width="5.33203125" bestFit="1" customWidth="1"/>
    <col min="4" max="4" width="11.33203125" bestFit="1" customWidth="1"/>
    <col min="5" max="5" width="12.1640625" bestFit="1" customWidth="1"/>
    <col min="6" max="6" width="18.33203125" bestFit="1" customWidth="1"/>
    <col min="7" max="7" width="14.33203125" bestFit="1" customWidth="1"/>
    <col min="8" max="8" width="12.1640625" bestFit="1" customWidth="1"/>
    <col min="9" max="9" width="22" bestFit="1" customWidth="1"/>
    <col min="10" max="10" width="22.33203125" bestFit="1" customWidth="1"/>
    <col min="11" max="11" width="17.1640625" bestFit="1" customWidth="1"/>
    <col min="12" max="12" width="24" bestFit="1" customWidth="1"/>
    <col min="13" max="13" width="12.1640625" bestFit="1" customWidth="1"/>
  </cols>
  <sheetData>
    <row r="1" spans="1:34" x14ac:dyDescent="0.2">
      <c r="A1" s="5" t="s">
        <v>36</v>
      </c>
      <c r="B1" s="5" t="s">
        <v>35</v>
      </c>
      <c r="C1" s="5" t="s">
        <v>34</v>
      </c>
      <c r="D1" s="5" t="s">
        <v>33</v>
      </c>
      <c r="E1" s="5" t="s">
        <v>32</v>
      </c>
      <c r="F1" s="5" t="s">
        <v>31</v>
      </c>
      <c r="G1" s="5" t="s">
        <v>30</v>
      </c>
      <c r="H1" s="5" t="s">
        <v>29</v>
      </c>
      <c r="I1" s="5" t="s">
        <v>28</v>
      </c>
      <c r="J1" s="5" t="s">
        <v>27</v>
      </c>
      <c r="K1" s="5" t="s">
        <v>26</v>
      </c>
      <c r="L1" s="12" t="s">
        <v>25</v>
      </c>
      <c r="M1" s="12" t="s">
        <v>24</v>
      </c>
      <c r="P1" s="13"/>
      <c r="Q1" s="13"/>
      <c r="R1" s="13"/>
      <c r="S1" s="13"/>
      <c r="T1" s="13"/>
      <c r="U1" s="13"/>
      <c r="V1" s="13"/>
      <c r="W1" s="13"/>
      <c r="X1" s="13"/>
      <c r="Y1" s="13"/>
      <c r="AA1" s="13"/>
      <c r="AB1" s="13"/>
      <c r="AC1" s="13"/>
      <c r="AD1" s="13"/>
      <c r="AE1" s="13"/>
      <c r="AF1" s="13"/>
      <c r="AG1" s="13"/>
      <c r="AH1" s="13"/>
    </row>
    <row r="2" spans="1:34" x14ac:dyDescent="0.2">
      <c r="A2" s="7" t="s">
        <v>50</v>
      </c>
      <c r="B2" s="8">
        <v>1</v>
      </c>
      <c r="C2" s="3">
        <v>1</v>
      </c>
      <c r="D2" s="3">
        <v>422</v>
      </c>
      <c r="E2" s="3">
        <f>6/D2*100</f>
        <v>1.4218009478672986</v>
      </c>
      <c r="F2" s="1">
        <f>AVERAGE(D2:D3)</f>
        <v>400.5</v>
      </c>
      <c r="G2" s="3">
        <v>335</v>
      </c>
      <c r="H2" s="3">
        <f>97/G2*100</f>
        <v>28.955223880597014</v>
      </c>
      <c r="I2" s="1">
        <f>AVERAGE(G2:G3)</f>
        <v>341.5</v>
      </c>
      <c r="J2" s="1">
        <f>I2</f>
        <v>341.5</v>
      </c>
      <c r="K2" s="1">
        <f>J2/F2</f>
        <v>0.85268414481897625</v>
      </c>
      <c r="L2" s="17">
        <f>AVERAGE(K2:K8)</f>
        <v>0.92210582013511089</v>
      </c>
      <c r="M2" s="17">
        <f>STDEV(K2:K8)</f>
        <v>9.2895278584083751E-2</v>
      </c>
      <c r="P2" s="13"/>
      <c r="Q2" s="13"/>
      <c r="R2" s="20"/>
      <c r="S2" s="13"/>
      <c r="T2" s="13"/>
      <c r="U2" s="13"/>
      <c r="V2" s="13"/>
      <c r="W2" s="13"/>
      <c r="X2" s="13"/>
      <c r="Y2" s="13"/>
      <c r="AA2" s="13"/>
      <c r="AB2" s="13"/>
      <c r="AC2" s="13"/>
      <c r="AD2" s="13"/>
      <c r="AE2" s="13"/>
      <c r="AF2" s="13"/>
      <c r="AG2" s="13"/>
      <c r="AH2" s="13"/>
    </row>
    <row r="3" spans="1:34" x14ac:dyDescent="0.2">
      <c r="A3" s="7"/>
      <c r="B3" s="8"/>
      <c r="C3" s="3">
        <v>2</v>
      </c>
      <c r="D3" s="3">
        <v>379</v>
      </c>
      <c r="E3" s="3">
        <f>9/D3*100</f>
        <v>2.3746701846965697</v>
      </c>
      <c r="F3" s="1"/>
      <c r="G3" s="3">
        <v>348</v>
      </c>
      <c r="H3" s="3">
        <f>115/G3*100</f>
        <v>33.045977011494251</v>
      </c>
      <c r="I3" s="1"/>
      <c r="J3" s="1"/>
      <c r="K3" s="1"/>
      <c r="L3" s="16"/>
      <c r="M3" s="16"/>
      <c r="P3" s="13"/>
      <c r="Q3" s="14" t="s">
        <v>49</v>
      </c>
      <c r="R3" s="13"/>
      <c r="S3" s="13"/>
      <c r="T3" s="13"/>
      <c r="U3" s="13"/>
      <c r="V3" s="13"/>
      <c r="W3" s="13"/>
      <c r="X3" s="13"/>
      <c r="Y3" s="13"/>
      <c r="AA3" s="13"/>
      <c r="AB3" s="13"/>
      <c r="AC3" s="13"/>
      <c r="AD3" s="13"/>
      <c r="AE3" s="13"/>
      <c r="AF3" s="13"/>
      <c r="AG3" s="13"/>
      <c r="AH3" s="13"/>
    </row>
    <row r="4" spans="1:34" x14ac:dyDescent="0.2">
      <c r="A4" s="7"/>
      <c r="B4" s="8">
        <v>2</v>
      </c>
      <c r="C4" s="3">
        <v>1</v>
      </c>
      <c r="D4" s="3">
        <v>135</v>
      </c>
      <c r="E4" s="3">
        <f>0/D4*100</f>
        <v>0</v>
      </c>
      <c r="F4" s="1">
        <f>AVERAGE(D4:D5)</f>
        <v>152</v>
      </c>
      <c r="G4" s="3">
        <v>148</v>
      </c>
      <c r="H4" s="3">
        <f>47/G4*100</f>
        <v>31.756756756756754</v>
      </c>
      <c r="I4" s="1">
        <f>AVERAGE(G4:G5)</f>
        <v>135</v>
      </c>
      <c r="J4" s="1">
        <f>I4</f>
        <v>135</v>
      </c>
      <c r="K4" s="1">
        <f>J4/F4</f>
        <v>0.88815789473684215</v>
      </c>
      <c r="L4" s="16"/>
      <c r="M4" s="16"/>
      <c r="P4" s="13"/>
      <c r="Q4" s="13"/>
      <c r="R4" s="10">
        <v>1</v>
      </c>
      <c r="S4" s="10">
        <v>2</v>
      </c>
      <c r="T4" s="10">
        <v>3</v>
      </c>
      <c r="U4" s="9">
        <v>4</v>
      </c>
      <c r="V4" s="9">
        <v>5</v>
      </c>
      <c r="W4" s="9">
        <v>6</v>
      </c>
      <c r="X4" s="9">
        <v>7</v>
      </c>
      <c r="Y4" s="14"/>
      <c r="AA4" s="13"/>
      <c r="AB4" s="13"/>
      <c r="AC4" s="13"/>
      <c r="AD4" s="13"/>
      <c r="AE4" s="13"/>
      <c r="AF4" s="13"/>
      <c r="AG4" s="13"/>
      <c r="AH4" s="13"/>
    </row>
    <row r="5" spans="1:34" x14ac:dyDescent="0.2">
      <c r="A5" s="7"/>
      <c r="B5" s="8"/>
      <c r="C5" s="3">
        <v>2</v>
      </c>
      <c r="D5" s="3">
        <v>169</v>
      </c>
      <c r="E5" s="3">
        <f>1/D5*100</f>
        <v>0.59171597633136097</v>
      </c>
      <c r="F5" s="1"/>
      <c r="G5" s="3">
        <v>122</v>
      </c>
      <c r="H5" s="3">
        <f>46/G5*100</f>
        <v>37.704918032786885</v>
      </c>
      <c r="I5" s="1"/>
      <c r="J5" s="1"/>
      <c r="K5" s="1"/>
      <c r="L5" s="16"/>
      <c r="M5" s="16"/>
      <c r="P5" s="13"/>
      <c r="Q5" s="3" t="s">
        <v>17</v>
      </c>
      <c r="R5" s="3">
        <f>I2</f>
        <v>341.5</v>
      </c>
      <c r="S5" s="3">
        <f>I4</f>
        <v>135</v>
      </c>
      <c r="T5" s="3">
        <f>I6</f>
        <v>188</v>
      </c>
      <c r="U5" s="3">
        <f>I8</f>
        <v>533.5</v>
      </c>
      <c r="V5" s="3"/>
      <c r="W5" s="3"/>
      <c r="X5" s="3"/>
      <c r="Y5" s="13"/>
      <c r="AA5" s="13"/>
      <c r="AB5" s="13"/>
      <c r="AC5" s="13"/>
      <c r="AD5" s="13"/>
      <c r="AE5" s="13"/>
      <c r="AF5" s="13"/>
      <c r="AG5" s="13"/>
      <c r="AH5" s="13"/>
    </row>
    <row r="6" spans="1:34" x14ac:dyDescent="0.2">
      <c r="A6" s="7"/>
      <c r="B6" s="8">
        <v>3</v>
      </c>
      <c r="C6" s="3">
        <v>1</v>
      </c>
      <c r="D6" s="3">
        <v>125</v>
      </c>
      <c r="E6" s="3">
        <f>0/D6*100</f>
        <v>0</v>
      </c>
      <c r="F6" s="1">
        <f>AVERAGE(D6:D7)</f>
        <v>177.5</v>
      </c>
      <c r="G6" s="19">
        <v>190</v>
      </c>
      <c r="H6" s="3">
        <f>64/G6*100</f>
        <v>33.684210526315788</v>
      </c>
      <c r="I6" s="1">
        <f>AVERAGE(G6:G7)</f>
        <v>188</v>
      </c>
      <c r="J6" s="1">
        <f>I6</f>
        <v>188</v>
      </c>
      <c r="K6" s="1">
        <f>J6/F6</f>
        <v>1.0591549295774647</v>
      </c>
      <c r="L6" s="16"/>
      <c r="M6" s="16"/>
      <c r="P6" s="13"/>
      <c r="Q6" s="6" t="s">
        <v>16</v>
      </c>
      <c r="R6" s="3">
        <f>I14</f>
        <v>399.5</v>
      </c>
      <c r="S6" s="3">
        <f>I16</f>
        <v>174.5</v>
      </c>
      <c r="T6" s="3">
        <f>I18</f>
        <v>193</v>
      </c>
      <c r="U6" s="3">
        <f>I20</f>
        <v>122</v>
      </c>
      <c r="V6" s="3"/>
      <c r="W6" s="3"/>
      <c r="X6" s="3"/>
      <c r="Y6" s="13"/>
      <c r="AA6" s="13"/>
      <c r="AB6" s="13"/>
      <c r="AC6" s="13"/>
      <c r="AD6" s="13"/>
      <c r="AE6" s="13"/>
      <c r="AF6" s="13"/>
      <c r="AG6" s="13"/>
      <c r="AH6" s="13"/>
    </row>
    <row r="7" spans="1:34" x14ac:dyDescent="0.2">
      <c r="A7" s="7"/>
      <c r="B7" s="8"/>
      <c r="C7" s="3">
        <v>2</v>
      </c>
      <c r="D7" s="3">
        <v>230</v>
      </c>
      <c r="E7" s="3">
        <f>1/D7*100</f>
        <v>0.43478260869565216</v>
      </c>
      <c r="F7" s="1"/>
      <c r="G7" s="19">
        <v>186</v>
      </c>
      <c r="H7" s="3">
        <f>58/G7*100</f>
        <v>31.182795698924732</v>
      </c>
      <c r="I7" s="1"/>
      <c r="J7" s="1"/>
      <c r="K7" s="1"/>
      <c r="L7" s="16"/>
      <c r="M7" s="16"/>
      <c r="P7" s="13"/>
      <c r="Q7" s="6" t="s">
        <v>15</v>
      </c>
      <c r="R7" s="3">
        <f>I26</f>
        <v>152.5</v>
      </c>
      <c r="S7" s="3">
        <f>I28</f>
        <v>74.5</v>
      </c>
      <c r="T7" s="3">
        <f>I30</f>
        <v>169</v>
      </c>
      <c r="U7" s="3"/>
      <c r="V7" s="3"/>
      <c r="W7" s="3"/>
      <c r="X7" s="3"/>
      <c r="Y7" s="13"/>
      <c r="AA7" s="13"/>
      <c r="AB7" s="13"/>
      <c r="AC7" s="13"/>
      <c r="AD7" s="13"/>
      <c r="AE7" s="13"/>
      <c r="AF7" s="13"/>
      <c r="AG7" s="13"/>
      <c r="AH7" s="13"/>
    </row>
    <row r="8" spans="1:34" x14ac:dyDescent="0.2">
      <c r="A8" s="7"/>
      <c r="B8" s="8">
        <v>4</v>
      </c>
      <c r="C8" s="3">
        <v>1</v>
      </c>
      <c r="D8" s="3">
        <v>613</v>
      </c>
      <c r="E8" s="3">
        <f>81/D8*100</f>
        <v>13.213703099510605</v>
      </c>
      <c r="F8" s="1">
        <f>AVERAGE(D8:D9)</f>
        <v>600.5</v>
      </c>
      <c r="G8" s="19">
        <v>519</v>
      </c>
      <c r="H8" s="3">
        <f>120/G8*100</f>
        <v>23.121387283236995</v>
      </c>
      <c r="I8" s="1">
        <f>AVERAGE(G8:G9)</f>
        <v>533.5</v>
      </c>
      <c r="J8" s="1">
        <f>I8</f>
        <v>533.5</v>
      </c>
      <c r="K8" s="1">
        <f>J8/F8</f>
        <v>0.88842631140716066</v>
      </c>
      <c r="L8" s="16"/>
      <c r="M8" s="16"/>
      <c r="P8" s="13"/>
      <c r="Q8" s="6" t="s">
        <v>14</v>
      </c>
      <c r="R8" s="3">
        <f>I36</f>
        <v>563</v>
      </c>
      <c r="S8" s="3">
        <f>I36</f>
        <v>563</v>
      </c>
      <c r="T8" s="3">
        <f>I40</f>
        <v>307</v>
      </c>
      <c r="U8" s="3"/>
      <c r="V8" s="3"/>
      <c r="W8" s="3"/>
      <c r="X8" s="3"/>
      <c r="Y8" s="13"/>
      <c r="AA8" s="13"/>
      <c r="AB8" s="13"/>
      <c r="AC8" s="13"/>
      <c r="AD8" s="13"/>
      <c r="AE8" s="13"/>
      <c r="AF8" s="13"/>
      <c r="AG8" s="13"/>
      <c r="AH8" s="13"/>
    </row>
    <row r="9" spans="1:34" x14ac:dyDescent="0.2">
      <c r="A9" s="7"/>
      <c r="B9" s="8"/>
      <c r="C9" s="3">
        <v>2</v>
      </c>
      <c r="D9" s="3">
        <v>588</v>
      </c>
      <c r="E9" s="3">
        <f>73/D9*100</f>
        <v>12.414965986394558</v>
      </c>
      <c r="F9" s="1"/>
      <c r="G9" s="19">
        <v>548</v>
      </c>
      <c r="H9" s="3">
        <f>123/G9*100</f>
        <v>22.445255474452555</v>
      </c>
      <c r="I9" s="1"/>
      <c r="J9" s="1"/>
      <c r="K9" s="1"/>
      <c r="L9" s="15"/>
      <c r="M9" s="15"/>
      <c r="P9" s="13"/>
      <c r="Q9" s="6" t="s">
        <v>13</v>
      </c>
      <c r="R9" s="3">
        <f>I46</f>
        <v>270</v>
      </c>
      <c r="S9" s="3">
        <f>I46</f>
        <v>270</v>
      </c>
      <c r="T9" s="3">
        <f>I50</f>
        <v>135</v>
      </c>
      <c r="U9" s="3">
        <f>I52</f>
        <v>73.5</v>
      </c>
      <c r="V9" s="3">
        <f>I54</f>
        <v>63.5</v>
      </c>
      <c r="W9" s="3">
        <f>I56</f>
        <v>58</v>
      </c>
      <c r="X9" s="3">
        <f>I58</f>
        <v>62</v>
      </c>
      <c r="Y9" s="13"/>
      <c r="AA9" s="13"/>
      <c r="AB9" s="13"/>
      <c r="AC9" s="13"/>
      <c r="AD9" s="13"/>
      <c r="AE9" s="13"/>
      <c r="AF9" s="13"/>
      <c r="AG9" s="13"/>
      <c r="AH9" s="13"/>
    </row>
    <row r="10" spans="1:34" x14ac:dyDescent="0.2">
      <c r="P10" s="13"/>
      <c r="Y10" s="13"/>
    </row>
    <row r="11" spans="1:34" x14ac:dyDescent="0.2">
      <c r="P11" s="13"/>
      <c r="Y11" s="13"/>
    </row>
    <row r="12" spans="1:34" x14ac:dyDescent="0.2">
      <c r="P12" s="13"/>
      <c r="Q12" s="18" t="s">
        <v>48</v>
      </c>
      <c r="U12" s="13"/>
      <c r="V12" s="13"/>
      <c r="W12" s="13"/>
      <c r="X12" s="13"/>
      <c r="Y12" s="13"/>
      <c r="AA12" s="14" t="s">
        <v>47</v>
      </c>
      <c r="AB12" s="13"/>
      <c r="AC12" s="13"/>
      <c r="AD12" s="13"/>
      <c r="AE12" s="13"/>
      <c r="AF12" s="13"/>
      <c r="AG12" s="13"/>
    </row>
    <row r="13" spans="1:34" x14ac:dyDescent="0.2">
      <c r="A13" s="5" t="s">
        <v>36</v>
      </c>
      <c r="B13" s="5" t="s">
        <v>35</v>
      </c>
      <c r="C13" s="5" t="s">
        <v>34</v>
      </c>
      <c r="D13" s="5" t="s">
        <v>33</v>
      </c>
      <c r="E13" s="5" t="s">
        <v>32</v>
      </c>
      <c r="F13" s="5" t="s">
        <v>31</v>
      </c>
      <c r="G13" s="5" t="s">
        <v>30</v>
      </c>
      <c r="H13" s="5" t="s">
        <v>29</v>
      </c>
      <c r="I13" s="5" t="s">
        <v>28</v>
      </c>
      <c r="J13" s="5" t="s">
        <v>27</v>
      </c>
      <c r="K13" s="5" t="s">
        <v>26</v>
      </c>
      <c r="L13" s="12" t="s">
        <v>25</v>
      </c>
      <c r="M13" s="12" t="s">
        <v>24</v>
      </c>
      <c r="P13" s="13"/>
      <c r="R13" s="10">
        <v>1</v>
      </c>
      <c r="S13" s="10">
        <v>2</v>
      </c>
      <c r="T13" s="10">
        <v>3</v>
      </c>
      <c r="U13" s="9">
        <v>4</v>
      </c>
      <c r="V13" s="9">
        <v>5</v>
      </c>
      <c r="W13" s="9">
        <v>6</v>
      </c>
      <c r="X13" s="9">
        <v>7</v>
      </c>
      <c r="Y13" s="14"/>
      <c r="AB13" s="10">
        <v>1</v>
      </c>
      <c r="AC13" s="10">
        <v>2</v>
      </c>
      <c r="AD13" s="10">
        <v>3</v>
      </c>
      <c r="AE13" s="9">
        <v>4</v>
      </c>
      <c r="AF13" s="9">
        <v>5</v>
      </c>
      <c r="AG13" s="9">
        <v>6</v>
      </c>
      <c r="AH13" s="9">
        <v>7</v>
      </c>
    </row>
    <row r="14" spans="1:34" x14ac:dyDescent="0.2">
      <c r="A14" s="7" t="s">
        <v>46</v>
      </c>
      <c r="B14" s="8">
        <v>1</v>
      </c>
      <c r="C14" s="3">
        <v>1</v>
      </c>
      <c r="D14" s="3">
        <v>302</v>
      </c>
      <c r="E14" s="3">
        <f>0/D14*100</f>
        <v>0</v>
      </c>
      <c r="F14" s="1">
        <f>AVERAGE(D14:D15)</f>
        <v>293</v>
      </c>
      <c r="G14" s="3">
        <v>406</v>
      </c>
      <c r="H14" s="3">
        <f>106/G14*100</f>
        <v>26.108374384236456</v>
      </c>
      <c r="I14" s="1">
        <f>AVERAGE(G14:G15)</f>
        <v>399.5</v>
      </c>
      <c r="J14" s="1">
        <f>I14/2</f>
        <v>199.75</v>
      </c>
      <c r="K14" s="1">
        <f>J14/F14</f>
        <v>0.68174061433447097</v>
      </c>
      <c r="L14" s="17">
        <f>AVERAGE(K14:K20)</f>
        <v>0.65781221713187654</v>
      </c>
      <c r="M14" s="17">
        <f>STDEV(K14:K20)</f>
        <v>6.6827168827845715E-2</v>
      </c>
      <c r="P14" s="13"/>
      <c r="Q14" s="3" t="s">
        <v>17</v>
      </c>
      <c r="R14" s="3">
        <v>20.5</v>
      </c>
      <c r="S14" s="3">
        <v>8.5</v>
      </c>
      <c r="T14" s="3">
        <v>5</v>
      </c>
      <c r="U14" s="3">
        <v>9.5</v>
      </c>
      <c r="V14" s="3"/>
      <c r="W14" s="3"/>
      <c r="X14" s="3"/>
      <c r="Y14" s="13"/>
      <c r="AA14" s="3" t="s">
        <v>17</v>
      </c>
      <c r="AB14" s="3">
        <f>R23*K2</f>
        <v>5.118601747815231E-2</v>
      </c>
      <c r="AC14" s="3">
        <f>S23*K4</f>
        <v>5.5921052631578948E-2</v>
      </c>
      <c r="AD14" s="3">
        <f>T23*K6</f>
        <v>2.8169014084507039E-2</v>
      </c>
      <c r="AE14" s="3">
        <f>U23*K8</f>
        <v>1.5820149875104082E-2</v>
      </c>
      <c r="AF14" s="3"/>
      <c r="AG14" s="3"/>
      <c r="AH14" s="3"/>
    </row>
    <row r="15" spans="1:34" x14ac:dyDescent="0.2">
      <c r="A15" s="7"/>
      <c r="B15" s="8"/>
      <c r="C15" s="3">
        <v>2</v>
      </c>
      <c r="D15" s="3">
        <v>284</v>
      </c>
      <c r="E15" s="3">
        <f>3/D15*100</f>
        <v>1.056338028169014</v>
      </c>
      <c r="F15" s="1"/>
      <c r="G15" s="3">
        <v>393</v>
      </c>
      <c r="H15" s="3">
        <f>78/G15*100</f>
        <v>19.847328244274809</v>
      </c>
      <c r="I15" s="1"/>
      <c r="J15" s="1"/>
      <c r="K15" s="1"/>
      <c r="L15" s="16"/>
      <c r="M15" s="16"/>
      <c r="P15" s="13"/>
      <c r="Q15" s="6" t="s">
        <v>16</v>
      </c>
      <c r="R15" s="3">
        <v>12.5</v>
      </c>
      <c r="S15" s="3">
        <v>5</v>
      </c>
      <c r="T15" s="3">
        <v>10</v>
      </c>
      <c r="U15" s="3">
        <v>4.5</v>
      </c>
      <c r="V15" s="3"/>
      <c r="W15" s="3"/>
      <c r="X15" s="3"/>
      <c r="Y15" s="13"/>
      <c r="AA15" s="6" t="s">
        <v>16</v>
      </c>
      <c r="AB15" s="3">
        <f>R24*K14</f>
        <v>2.1331058020477817E-2</v>
      </c>
      <c r="AC15" s="3">
        <f>S24*K16</f>
        <v>2.0746887966804978E-2</v>
      </c>
      <c r="AD15" s="3">
        <f>T24*K18</f>
        <v>2.932551319648094E-2</v>
      </c>
      <c r="AE15" s="3">
        <f>U24*K20</f>
        <v>2.4324324324324326E-2</v>
      </c>
      <c r="AF15" s="3"/>
      <c r="AG15" s="3"/>
      <c r="AH15" s="3"/>
    </row>
    <row r="16" spans="1:34" x14ac:dyDescent="0.2">
      <c r="A16" s="7"/>
      <c r="B16" s="8">
        <v>2</v>
      </c>
      <c r="C16" s="3">
        <v>1</v>
      </c>
      <c r="D16" s="3">
        <v>116</v>
      </c>
      <c r="E16" s="3">
        <f>0/D16*100</f>
        <v>0</v>
      </c>
      <c r="F16" s="1">
        <f>AVERAGE(D16:D17)</f>
        <v>120.5</v>
      </c>
      <c r="G16" s="3">
        <v>169</v>
      </c>
      <c r="H16" s="3">
        <f>43/G16*100</f>
        <v>25.443786982248522</v>
      </c>
      <c r="I16" s="1">
        <f>AVERAGE(G16:G17)</f>
        <v>174.5</v>
      </c>
      <c r="J16" s="1">
        <f>I16/2</f>
        <v>87.25</v>
      </c>
      <c r="K16" s="1">
        <f>J16/F16</f>
        <v>0.72406639004149376</v>
      </c>
      <c r="L16" s="16"/>
      <c r="M16" s="16"/>
      <c r="P16" s="13"/>
      <c r="Q16" s="6" t="s">
        <v>15</v>
      </c>
      <c r="R16" s="3">
        <v>9</v>
      </c>
      <c r="S16" s="3">
        <v>1.5</v>
      </c>
      <c r="T16" s="3">
        <v>9</v>
      </c>
      <c r="U16" s="3"/>
      <c r="V16" s="3"/>
      <c r="W16" s="3"/>
      <c r="X16" s="3"/>
      <c r="Y16" s="13"/>
      <c r="AA16" s="6" t="s">
        <v>15</v>
      </c>
      <c r="AB16" s="3">
        <f>R25*K26</f>
        <v>5.4380664652567974E-2</v>
      </c>
      <c r="AC16" s="3">
        <f>S25*K28</f>
        <v>1.3761467889908256E-2</v>
      </c>
      <c r="AD16" s="3">
        <f>T25*K30</f>
        <v>4.6632124352331605E-2</v>
      </c>
      <c r="AE16" s="3"/>
      <c r="AF16" s="3"/>
      <c r="AG16" s="3"/>
      <c r="AH16" s="3"/>
    </row>
    <row r="17" spans="1:35" x14ac:dyDescent="0.2">
      <c r="A17" s="7"/>
      <c r="B17" s="8"/>
      <c r="C17" s="3">
        <v>2</v>
      </c>
      <c r="D17" s="3">
        <v>125</v>
      </c>
      <c r="E17" s="3">
        <f>0/D17*100</f>
        <v>0</v>
      </c>
      <c r="F17" s="1"/>
      <c r="G17" s="3">
        <v>180</v>
      </c>
      <c r="H17" s="3">
        <f>38/G17*100</f>
        <v>21.111111111111111</v>
      </c>
      <c r="I17" s="1"/>
      <c r="J17" s="1"/>
      <c r="K17" s="1"/>
      <c r="L17" s="16"/>
      <c r="M17" s="16"/>
      <c r="P17" s="13"/>
      <c r="Q17" s="6" t="s">
        <v>14</v>
      </c>
      <c r="R17" s="3">
        <v>15.5</v>
      </c>
      <c r="S17" s="3">
        <v>11</v>
      </c>
      <c r="T17" s="3">
        <v>9.5</v>
      </c>
      <c r="U17" s="3"/>
      <c r="V17" s="3"/>
      <c r="W17" s="3"/>
      <c r="X17" s="3"/>
      <c r="Y17" s="13"/>
      <c r="AA17" s="6" t="s">
        <v>14</v>
      </c>
      <c r="AB17" s="3">
        <f>R26*K36</f>
        <v>2.4544734758511481E-2</v>
      </c>
      <c r="AC17" s="3">
        <f>S26*K38</f>
        <v>1.719710636706653E-2</v>
      </c>
      <c r="AD17" s="3">
        <f>T26*K40</f>
        <v>2.375E-2</v>
      </c>
      <c r="AE17" s="3"/>
      <c r="AF17" s="3"/>
      <c r="AG17" s="3"/>
      <c r="AH17" s="3"/>
    </row>
    <row r="18" spans="1:35" x14ac:dyDescent="0.2">
      <c r="A18" s="7"/>
      <c r="B18" s="8">
        <v>3</v>
      </c>
      <c r="C18" s="3">
        <v>1</v>
      </c>
      <c r="D18" s="3">
        <v>151</v>
      </c>
      <c r="E18" s="3">
        <f>0/D18*100</f>
        <v>0</v>
      </c>
      <c r="F18" s="1">
        <f>AVERAGE(D18:D19)</f>
        <v>170.5</v>
      </c>
      <c r="G18" s="3">
        <v>193</v>
      </c>
      <c r="H18" s="3">
        <v>18</v>
      </c>
      <c r="I18" s="1">
        <f>AVERAGE(G18:G19)</f>
        <v>193</v>
      </c>
      <c r="J18" s="1">
        <f>I18/2</f>
        <v>96.5</v>
      </c>
      <c r="K18" s="1">
        <f>J18/F18</f>
        <v>0.56598240469208216</v>
      </c>
      <c r="L18" s="16"/>
      <c r="M18" s="16"/>
      <c r="P18" s="13"/>
      <c r="Q18" s="6" t="s">
        <v>13</v>
      </c>
      <c r="R18" s="3">
        <v>211</v>
      </c>
      <c r="S18" s="3">
        <v>58.5</v>
      </c>
      <c r="T18" s="3">
        <v>84.5</v>
      </c>
      <c r="U18" s="3">
        <v>35.5</v>
      </c>
      <c r="V18" s="3">
        <v>42</v>
      </c>
      <c r="W18" s="3">
        <v>37.5</v>
      </c>
      <c r="X18" s="3">
        <v>39.5</v>
      </c>
      <c r="Y18" s="13"/>
      <c r="AA18" s="6" t="s">
        <v>13</v>
      </c>
      <c r="AB18" s="3">
        <f>R27*K46</f>
        <v>3.7847533632286994E-3</v>
      </c>
      <c r="AC18" s="3">
        <f>S27*K48</f>
        <v>1.0746666666666667E-3</v>
      </c>
      <c r="AD18" s="3">
        <f>T27*K50</f>
        <v>4.5066666666666666E-3</v>
      </c>
      <c r="AE18" s="3">
        <f>U27*K52</f>
        <v>2.2719999999999997E-3</v>
      </c>
      <c r="AF18" s="3">
        <f>V27*K54</f>
        <v>4.6153846153846158E-3</v>
      </c>
      <c r="AG18" s="3">
        <f>W27*K56</f>
        <v>4.2134831460674156E-3</v>
      </c>
      <c r="AH18" s="3">
        <f>X27*K58</f>
        <v>3.6238532110091743E-3</v>
      </c>
    </row>
    <row r="19" spans="1:35" x14ac:dyDescent="0.2">
      <c r="A19" s="7"/>
      <c r="B19" s="8"/>
      <c r="C19" s="3">
        <v>2</v>
      </c>
      <c r="D19" s="3">
        <v>190</v>
      </c>
      <c r="E19" s="3">
        <f>0/D19*100</f>
        <v>0</v>
      </c>
      <c r="F19" s="1"/>
      <c r="G19" s="3"/>
      <c r="H19" s="3" t="e">
        <f>0/G19*100</f>
        <v>#DIV/0!</v>
      </c>
      <c r="I19" s="1"/>
      <c r="J19" s="1"/>
      <c r="K19" s="1"/>
      <c r="L19" s="16"/>
      <c r="M19" s="16"/>
      <c r="P19" s="13"/>
    </row>
    <row r="20" spans="1:35" x14ac:dyDescent="0.2">
      <c r="A20" s="7"/>
      <c r="B20" s="8">
        <v>4</v>
      </c>
      <c r="C20" s="3">
        <v>1</v>
      </c>
      <c r="D20" s="3">
        <v>88</v>
      </c>
      <c r="E20" s="3">
        <f>0/D20*100</f>
        <v>0</v>
      </c>
      <c r="F20" s="1">
        <f>AVERAGE(D20:D21)</f>
        <v>92.5</v>
      </c>
      <c r="G20" s="3">
        <v>123</v>
      </c>
      <c r="H20" s="3">
        <f>13/G20*100</f>
        <v>10.569105691056912</v>
      </c>
      <c r="I20" s="1">
        <f>AVERAGE(G20:G21)</f>
        <v>122</v>
      </c>
      <c r="J20" s="1">
        <f>I20/2</f>
        <v>61</v>
      </c>
      <c r="K20" s="1">
        <f>J20/F20</f>
        <v>0.6594594594594595</v>
      </c>
      <c r="L20" s="16"/>
      <c r="M20" s="16"/>
      <c r="P20" s="13"/>
    </row>
    <row r="21" spans="1:35" x14ac:dyDescent="0.2">
      <c r="A21" s="7"/>
      <c r="B21" s="8"/>
      <c r="C21" s="3">
        <v>2</v>
      </c>
      <c r="D21" s="3">
        <v>97</v>
      </c>
      <c r="E21" s="3">
        <f>0/D21*100</f>
        <v>0</v>
      </c>
      <c r="F21" s="1"/>
      <c r="G21" s="3">
        <v>121</v>
      </c>
      <c r="H21" s="3">
        <f>7/G21*100</f>
        <v>5.785123966942149</v>
      </c>
      <c r="I21" s="1"/>
      <c r="J21" s="1"/>
      <c r="K21" s="1"/>
      <c r="L21" s="15"/>
      <c r="M21" s="15"/>
      <c r="P21" s="13"/>
      <c r="Q21" s="11" t="s">
        <v>45</v>
      </c>
      <c r="T21" s="13"/>
      <c r="U21" s="13"/>
      <c r="V21" s="13"/>
      <c r="W21" s="13"/>
      <c r="X21" s="13"/>
      <c r="Y21" s="13"/>
      <c r="AA21" s="14" t="s">
        <v>44</v>
      </c>
      <c r="AB21" s="13"/>
      <c r="AC21" s="13"/>
      <c r="AD21" s="13"/>
      <c r="AE21" s="13"/>
      <c r="AF21" s="13"/>
      <c r="AG21" s="13"/>
    </row>
    <row r="22" spans="1:35" x14ac:dyDescent="0.2">
      <c r="P22" s="13"/>
      <c r="R22" s="10">
        <v>1</v>
      </c>
      <c r="S22" s="10">
        <v>2</v>
      </c>
      <c r="T22" s="10">
        <v>3</v>
      </c>
      <c r="U22" s="9">
        <v>4</v>
      </c>
      <c r="V22" s="9">
        <v>5</v>
      </c>
      <c r="W22" s="9">
        <v>6</v>
      </c>
      <c r="X22" s="9">
        <v>7</v>
      </c>
      <c r="Y22" s="5" t="s">
        <v>18</v>
      </c>
      <c r="AB22" s="10">
        <v>1</v>
      </c>
      <c r="AC22" s="10">
        <v>2</v>
      </c>
      <c r="AD22" s="10">
        <v>3</v>
      </c>
      <c r="AE22" s="9">
        <v>4</v>
      </c>
      <c r="AF22" s="9">
        <v>5</v>
      </c>
      <c r="AG22" s="9">
        <v>6</v>
      </c>
      <c r="AH22" s="9">
        <v>7</v>
      </c>
    </row>
    <row r="23" spans="1:35" x14ac:dyDescent="0.2">
      <c r="P23" s="13"/>
      <c r="Q23" s="3" t="s">
        <v>17</v>
      </c>
      <c r="R23" s="3">
        <f>R14/R5</f>
        <v>6.0029282576866766E-2</v>
      </c>
      <c r="S23" s="3">
        <f>S14/S5</f>
        <v>6.2962962962962957E-2</v>
      </c>
      <c r="T23" s="3">
        <f>T14/T5</f>
        <v>2.6595744680851064E-2</v>
      </c>
      <c r="U23" s="3">
        <f>U14/U5</f>
        <v>1.780693533270853E-2</v>
      </c>
      <c r="V23" s="3"/>
      <c r="W23" s="3"/>
      <c r="X23" s="3"/>
      <c r="Y23" s="3">
        <f>AVERAGE(R23:X23)</f>
        <v>4.1848731388347327E-2</v>
      </c>
      <c r="AA23" s="3" t="s">
        <v>17</v>
      </c>
      <c r="AB23" s="3">
        <f>K2-AB14</f>
        <v>0.80149812734082393</v>
      </c>
      <c r="AC23" s="3">
        <f>K4-AC14</f>
        <v>0.83223684210526316</v>
      </c>
      <c r="AD23" s="3">
        <f>K6-AD14</f>
        <v>1.0309859154929577</v>
      </c>
      <c r="AE23" s="3">
        <f>K8-AE14</f>
        <v>0.87260616153205661</v>
      </c>
      <c r="AF23" s="3"/>
      <c r="AG23" s="3"/>
      <c r="AH23" s="3"/>
    </row>
    <row r="24" spans="1:35" x14ac:dyDescent="0.2">
      <c r="P24" s="13"/>
      <c r="Q24" s="6" t="s">
        <v>16</v>
      </c>
      <c r="R24" s="3">
        <f>R15/R6</f>
        <v>3.1289111389236547E-2</v>
      </c>
      <c r="S24" s="3">
        <f>S15/S6</f>
        <v>2.865329512893983E-2</v>
      </c>
      <c r="T24" s="3">
        <f>T15/T6</f>
        <v>5.181347150259067E-2</v>
      </c>
      <c r="U24" s="3">
        <f>U15/U6</f>
        <v>3.6885245901639344E-2</v>
      </c>
      <c r="V24" s="3"/>
      <c r="W24" s="3"/>
      <c r="X24" s="3"/>
      <c r="Y24" s="3">
        <f>AVERAGE(R24:X24)</f>
        <v>3.7160280980601604E-2</v>
      </c>
      <c r="AA24" s="6" t="s">
        <v>16</v>
      </c>
      <c r="AB24" s="3">
        <f>K14-AB15</f>
        <v>0.66040955631399312</v>
      </c>
      <c r="AC24" s="3">
        <f>K16-AC15</f>
        <v>0.70331950207468874</v>
      </c>
      <c r="AD24" s="3">
        <f>K18-AD15</f>
        <v>0.53665689149560125</v>
      </c>
      <c r="AE24" s="3">
        <f>K20-AE15</f>
        <v>0.6351351351351352</v>
      </c>
      <c r="AF24" s="3"/>
      <c r="AG24" s="3"/>
      <c r="AH24" s="3"/>
    </row>
    <row r="25" spans="1:35" x14ac:dyDescent="0.2">
      <c r="A25" s="5" t="s">
        <v>36</v>
      </c>
      <c r="B25" s="5" t="s">
        <v>35</v>
      </c>
      <c r="C25" s="5" t="s">
        <v>34</v>
      </c>
      <c r="D25" s="5" t="s">
        <v>33</v>
      </c>
      <c r="E25" s="5" t="s">
        <v>32</v>
      </c>
      <c r="F25" s="5" t="s">
        <v>31</v>
      </c>
      <c r="G25" s="5" t="s">
        <v>30</v>
      </c>
      <c r="H25" s="5" t="s">
        <v>29</v>
      </c>
      <c r="I25" s="5" t="s">
        <v>28</v>
      </c>
      <c r="J25" s="5" t="s">
        <v>27</v>
      </c>
      <c r="K25" s="5" t="s">
        <v>26</v>
      </c>
      <c r="L25" s="12" t="s">
        <v>25</v>
      </c>
      <c r="M25" s="12" t="s">
        <v>24</v>
      </c>
      <c r="P25" s="13"/>
      <c r="Q25" s="6" t="s">
        <v>15</v>
      </c>
      <c r="R25" s="3">
        <f>R16/R7</f>
        <v>5.9016393442622953E-2</v>
      </c>
      <c r="S25" s="3">
        <f>S16/S7</f>
        <v>2.0134228187919462E-2</v>
      </c>
      <c r="T25" s="3">
        <f>T16/T7</f>
        <v>5.3254437869822487E-2</v>
      </c>
      <c r="U25" s="3"/>
      <c r="V25" s="3"/>
      <c r="W25" s="3"/>
      <c r="X25" s="3"/>
      <c r="Y25" s="3">
        <f>AVERAGE(R25:X25)</f>
        <v>4.4135019833454969E-2</v>
      </c>
      <c r="AA25" s="6" t="s">
        <v>15</v>
      </c>
      <c r="AB25" s="3">
        <f>K26-AB16</f>
        <v>0.86706948640483383</v>
      </c>
      <c r="AC25" s="3">
        <f>K28-AC16</f>
        <v>0.66972477064220182</v>
      </c>
      <c r="AD25" s="3">
        <f>K30-AD16</f>
        <v>0.82901554404145084</v>
      </c>
      <c r="AE25" s="3"/>
      <c r="AF25" s="3"/>
      <c r="AG25" s="3"/>
      <c r="AH25" s="3"/>
    </row>
    <row r="26" spans="1:35" x14ac:dyDescent="0.2">
      <c r="A26" s="7" t="s">
        <v>43</v>
      </c>
      <c r="B26" s="8">
        <v>1</v>
      </c>
      <c r="C26" s="3">
        <v>1</v>
      </c>
      <c r="D26" s="3">
        <v>177</v>
      </c>
      <c r="E26" s="3">
        <f>10/D26*100</f>
        <v>5.6497175141242941</v>
      </c>
      <c r="F26" s="1">
        <f>AVERAGE(D26:D27)</f>
        <v>165.5</v>
      </c>
      <c r="G26" s="3">
        <v>139</v>
      </c>
      <c r="H26" s="3">
        <f>44/G26*100</f>
        <v>31.654676258992804</v>
      </c>
      <c r="I26" s="1">
        <f>AVERAGE(G26:G27)</f>
        <v>152.5</v>
      </c>
      <c r="J26" s="1">
        <f>I26</f>
        <v>152.5</v>
      </c>
      <c r="K26" s="1">
        <f>J26/F26</f>
        <v>0.9214501510574018</v>
      </c>
      <c r="L26" s="7">
        <f>AVERAGE(K26:K31)</f>
        <v>0.82686135266109806</v>
      </c>
      <c r="M26" s="7">
        <f>STDEV(K26:K31)</f>
        <v>0.12626077921572904</v>
      </c>
      <c r="P26" s="13"/>
      <c r="Q26" s="6" t="s">
        <v>14</v>
      </c>
      <c r="R26" s="3">
        <f>R17/R8</f>
        <v>2.7531083481349913E-2</v>
      </c>
      <c r="S26" s="3">
        <f>S17/S8</f>
        <v>1.9538188277087035E-2</v>
      </c>
      <c r="T26" s="3">
        <f>T17/T8</f>
        <v>3.0944625407166124E-2</v>
      </c>
      <c r="U26" s="3"/>
      <c r="V26" s="3"/>
      <c r="W26" s="3"/>
      <c r="X26" s="3"/>
      <c r="Y26" s="3">
        <f>AVERAGE(R26:X26)</f>
        <v>2.6004632388534357E-2</v>
      </c>
      <c r="AA26" s="6" t="s">
        <v>14</v>
      </c>
      <c r="AB26" s="3">
        <f>K36-AB17</f>
        <v>0.8669833729216152</v>
      </c>
      <c r="AC26" s="3">
        <f>K38-AC17</f>
        <v>0.86298206496552032</v>
      </c>
      <c r="AD26" s="3">
        <f>K40-AD17</f>
        <v>0.74374999999999991</v>
      </c>
      <c r="AE26" s="3"/>
      <c r="AF26" s="3"/>
      <c r="AG26" s="3"/>
      <c r="AH26" s="3"/>
    </row>
    <row r="27" spans="1:35" x14ac:dyDescent="0.2">
      <c r="A27" s="7"/>
      <c r="B27" s="8"/>
      <c r="C27" s="3">
        <v>2</v>
      </c>
      <c r="D27" s="3">
        <v>154</v>
      </c>
      <c r="E27" s="3">
        <f>13/D27*100</f>
        <v>8.4415584415584419</v>
      </c>
      <c r="F27" s="1"/>
      <c r="G27" s="3">
        <v>166</v>
      </c>
      <c r="H27" s="3">
        <f>52/G27*100</f>
        <v>31.325301204819279</v>
      </c>
      <c r="I27" s="1"/>
      <c r="J27" s="1"/>
      <c r="K27" s="1"/>
      <c r="L27" s="7"/>
      <c r="M27" s="7"/>
      <c r="P27" s="13"/>
      <c r="Q27" s="6" t="s">
        <v>13</v>
      </c>
      <c r="R27" s="3">
        <f>R18/R9</f>
        <v>0.78148148148148144</v>
      </c>
      <c r="S27" s="3">
        <f>S18/S9</f>
        <v>0.21666666666666667</v>
      </c>
      <c r="T27" s="3">
        <f>T18/T9</f>
        <v>0.62592592592592589</v>
      </c>
      <c r="U27" s="3">
        <f>U18/U9</f>
        <v>0.48299319727891155</v>
      </c>
      <c r="V27" s="3">
        <f>V18/V9</f>
        <v>0.66141732283464572</v>
      </c>
      <c r="W27" s="3">
        <f>W18/W9</f>
        <v>0.64655172413793105</v>
      </c>
      <c r="X27" s="3">
        <f>X18/X9</f>
        <v>0.63709677419354838</v>
      </c>
      <c r="Y27" s="3">
        <f>AVERAGE(R27:X27)</f>
        <v>0.57887615607415877</v>
      </c>
      <c r="AA27" s="6" t="s">
        <v>13</v>
      </c>
      <c r="AB27" s="3">
        <f>K46-AB18</f>
        <v>1.058295964125561E-3</v>
      </c>
      <c r="AC27" s="3">
        <f>K48-AC18</f>
        <v>3.8853333333333335E-3</v>
      </c>
      <c r="AD27" s="3">
        <f>K50-AD18</f>
        <v>2.693333333333334E-3</v>
      </c>
      <c r="AE27" s="3">
        <f>K52-AE18</f>
        <v>2.4320000000000001E-3</v>
      </c>
      <c r="AF27" s="3">
        <f>K54-AF18</f>
        <v>2.3626373626373619E-3</v>
      </c>
      <c r="AG27" s="3">
        <f>K56-AG18</f>
        <v>2.3033707865168533E-3</v>
      </c>
      <c r="AH27" s="3">
        <f>K58-AH18</f>
        <v>2.0642201834862386E-3</v>
      </c>
    </row>
    <row r="28" spans="1:35" x14ac:dyDescent="0.2">
      <c r="A28" s="7"/>
      <c r="B28" s="8">
        <v>2</v>
      </c>
      <c r="C28" s="3">
        <v>1</v>
      </c>
      <c r="D28" s="3">
        <v>111</v>
      </c>
      <c r="E28" s="3">
        <f>12/D28*100</f>
        <v>10.810810810810811</v>
      </c>
      <c r="F28" s="1">
        <f>AVERAGE(D28:D29)</f>
        <v>109</v>
      </c>
      <c r="G28" s="3">
        <v>71</v>
      </c>
      <c r="H28" s="3">
        <f>19/G28*100</f>
        <v>26.760563380281688</v>
      </c>
      <c r="I28" s="1">
        <f>AVERAGE(G28:G29)</f>
        <v>74.5</v>
      </c>
      <c r="J28" s="1">
        <f>I28</f>
        <v>74.5</v>
      </c>
      <c r="K28" s="1">
        <f>J28/F28</f>
        <v>0.6834862385321101</v>
      </c>
      <c r="L28" s="7"/>
      <c r="M28" s="7"/>
    </row>
    <row r="29" spans="1:35" x14ac:dyDescent="0.2">
      <c r="A29" s="7"/>
      <c r="B29" s="8"/>
      <c r="C29" s="3">
        <v>2</v>
      </c>
      <c r="D29" s="3">
        <v>107</v>
      </c>
      <c r="E29" s="3">
        <f>4/D29*100</f>
        <v>3.7383177570093453</v>
      </c>
      <c r="F29" s="1"/>
      <c r="G29" s="3">
        <v>78</v>
      </c>
      <c r="H29" s="3">
        <f>16/G29*100</f>
        <v>20.512820512820511</v>
      </c>
      <c r="I29" s="1"/>
      <c r="J29" s="1"/>
      <c r="K29" s="1"/>
      <c r="L29" s="7"/>
      <c r="M29" s="7"/>
      <c r="Q29" s="13"/>
      <c r="R29" s="13"/>
      <c r="S29" s="13"/>
      <c r="T29" s="13"/>
      <c r="U29" s="13"/>
      <c r="V29" s="13"/>
      <c r="W29" s="13"/>
      <c r="X29" s="13"/>
      <c r="Y29" s="13"/>
      <c r="AA29" s="14" t="s">
        <v>42</v>
      </c>
      <c r="AB29" s="13"/>
      <c r="AC29" s="13"/>
      <c r="AD29" s="13"/>
      <c r="AE29" s="13"/>
      <c r="AF29" s="13"/>
      <c r="AG29" s="13"/>
      <c r="AH29" s="13"/>
    </row>
    <row r="30" spans="1:35" x14ac:dyDescent="0.2">
      <c r="A30" s="7"/>
      <c r="B30" s="8">
        <v>3</v>
      </c>
      <c r="C30" s="3">
        <v>1</v>
      </c>
      <c r="D30" s="3">
        <v>215</v>
      </c>
      <c r="E30" s="3">
        <f>22/D30*100</f>
        <v>10.232558139534884</v>
      </c>
      <c r="F30" s="1">
        <f>AVERAGE(D30:D31)</f>
        <v>193</v>
      </c>
      <c r="G30" s="3">
        <v>180</v>
      </c>
      <c r="H30" s="3">
        <f>58/G30*100</f>
        <v>32.222222222222221</v>
      </c>
      <c r="I30" s="1">
        <f>AVERAGE(G30:G31)</f>
        <v>169</v>
      </c>
      <c r="J30" s="1">
        <f>I30</f>
        <v>169</v>
      </c>
      <c r="K30" s="1">
        <f>J30/F30</f>
        <v>0.87564766839378239</v>
      </c>
      <c r="L30" s="7"/>
      <c r="M30" s="7"/>
      <c r="Q30" s="13"/>
      <c r="R30" s="13"/>
      <c r="S30" s="13"/>
      <c r="T30" s="13"/>
      <c r="U30" s="13"/>
      <c r="V30" s="13"/>
      <c r="W30" s="13"/>
      <c r="X30" s="13"/>
      <c r="Y30" s="13"/>
      <c r="AA30" s="13"/>
      <c r="AB30" s="13"/>
      <c r="AC30" s="13"/>
      <c r="AD30" s="13"/>
      <c r="AE30" s="13"/>
      <c r="AF30" s="13"/>
      <c r="AG30" s="13"/>
      <c r="AH30" s="13"/>
    </row>
    <row r="31" spans="1:35" x14ac:dyDescent="0.2">
      <c r="A31" s="7"/>
      <c r="B31" s="8"/>
      <c r="C31" s="3">
        <v>2</v>
      </c>
      <c r="D31" s="3">
        <v>171</v>
      </c>
      <c r="E31" s="3">
        <f>14/D31*100</f>
        <v>8.1871345029239766</v>
      </c>
      <c r="F31" s="1"/>
      <c r="G31" s="3">
        <v>158</v>
      </c>
      <c r="H31" s="3">
        <f>38/G31*100</f>
        <v>24.050632911392405</v>
      </c>
      <c r="I31" s="1"/>
      <c r="J31" s="1"/>
      <c r="K31" s="1"/>
      <c r="L31" s="7"/>
      <c r="M31" s="7"/>
      <c r="Q31" s="14" t="s">
        <v>41</v>
      </c>
      <c r="R31" s="13"/>
      <c r="S31" s="13"/>
      <c r="T31" s="13"/>
      <c r="U31" s="13"/>
      <c r="V31" s="13"/>
      <c r="W31" s="13"/>
      <c r="X31" s="13"/>
      <c r="Y31" s="13"/>
      <c r="AA31" s="14" t="s">
        <v>40</v>
      </c>
      <c r="AB31" s="13"/>
      <c r="AC31" s="13"/>
      <c r="AD31" s="13"/>
      <c r="AE31" s="13"/>
      <c r="AF31" s="13"/>
      <c r="AG31" s="13"/>
      <c r="AH31" s="13"/>
    </row>
    <row r="32" spans="1:35" x14ac:dyDescent="0.2">
      <c r="Q32" s="13"/>
      <c r="R32" s="10">
        <v>1</v>
      </c>
      <c r="S32" s="10">
        <v>2</v>
      </c>
      <c r="T32" s="10">
        <v>3</v>
      </c>
      <c r="U32" s="9">
        <v>4</v>
      </c>
      <c r="V32" s="9">
        <v>5</v>
      </c>
      <c r="W32" s="9">
        <v>6</v>
      </c>
      <c r="X32" s="9">
        <v>7</v>
      </c>
      <c r="Y32" s="13"/>
      <c r="AA32" s="13"/>
      <c r="AB32" s="10">
        <v>1</v>
      </c>
      <c r="AC32" s="10">
        <v>2</v>
      </c>
      <c r="AD32" s="10">
        <v>3</v>
      </c>
      <c r="AE32" s="9">
        <v>4</v>
      </c>
      <c r="AF32" s="9">
        <v>5</v>
      </c>
      <c r="AG32" s="9">
        <v>6</v>
      </c>
      <c r="AH32" s="9">
        <v>7</v>
      </c>
      <c r="AI32" s="5" t="s">
        <v>18</v>
      </c>
    </row>
    <row r="33" spans="1:35" x14ac:dyDescent="0.2">
      <c r="Q33" s="3" t="s">
        <v>17</v>
      </c>
      <c r="R33" s="3">
        <v>16.5</v>
      </c>
      <c r="S33" s="3">
        <v>4.5</v>
      </c>
      <c r="T33" s="3">
        <v>3.5</v>
      </c>
      <c r="U33" s="3">
        <v>9.5</v>
      </c>
      <c r="V33" s="3"/>
      <c r="W33" s="3"/>
      <c r="X33" s="3"/>
      <c r="Y33" s="13"/>
      <c r="AA33" s="3" t="s">
        <v>17</v>
      </c>
      <c r="AB33" s="3">
        <f>R33/R5</f>
        <v>4.8316251830161056E-2</v>
      </c>
      <c r="AC33" s="3">
        <f>S33/S5</f>
        <v>3.3333333333333333E-2</v>
      </c>
      <c r="AD33" s="3">
        <f>T33/T5</f>
        <v>1.8617021276595744E-2</v>
      </c>
      <c r="AE33" s="3">
        <f>U33/U5</f>
        <v>1.780693533270853E-2</v>
      </c>
      <c r="AF33" s="3"/>
      <c r="AG33" s="3"/>
      <c r="AH33" s="3"/>
      <c r="AI33" s="3">
        <f>AVERAGE(AB33:AH33)</f>
        <v>2.9518385443199666E-2</v>
      </c>
    </row>
    <row r="34" spans="1:35" x14ac:dyDescent="0.2">
      <c r="Q34" s="6" t="s">
        <v>16</v>
      </c>
      <c r="R34" s="3">
        <v>11.5</v>
      </c>
      <c r="S34" s="3">
        <v>5</v>
      </c>
      <c r="T34" s="3">
        <v>10</v>
      </c>
      <c r="U34" s="3">
        <v>4.5</v>
      </c>
      <c r="V34" s="3"/>
      <c r="W34" s="3"/>
      <c r="X34" s="3"/>
      <c r="AA34" s="6" t="s">
        <v>16</v>
      </c>
      <c r="AB34" s="3">
        <f>R34/R6</f>
        <v>2.8785982478097622E-2</v>
      </c>
      <c r="AC34" s="3">
        <f>S34/S6</f>
        <v>2.865329512893983E-2</v>
      </c>
      <c r="AD34" s="3">
        <f>T34/T6</f>
        <v>5.181347150259067E-2</v>
      </c>
      <c r="AE34" s="3">
        <f>U34/U6</f>
        <v>3.6885245901639344E-2</v>
      </c>
      <c r="AF34" s="3"/>
      <c r="AG34" s="3"/>
      <c r="AH34" s="3"/>
      <c r="AI34" s="3">
        <f>AVERAGE(AB34:AH34)</f>
        <v>3.6534498752816863E-2</v>
      </c>
    </row>
    <row r="35" spans="1:35" x14ac:dyDescent="0.2">
      <c r="A35" s="5" t="s">
        <v>36</v>
      </c>
      <c r="B35" s="5" t="s">
        <v>35</v>
      </c>
      <c r="C35" s="5" t="s">
        <v>34</v>
      </c>
      <c r="D35" s="5" t="s">
        <v>33</v>
      </c>
      <c r="E35" s="5" t="s">
        <v>32</v>
      </c>
      <c r="F35" s="5" t="s">
        <v>31</v>
      </c>
      <c r="G35" s="5" t="s">
        <v>30</v>
      </c>
      <c r="H35" s="5" t="s">
        <v>29</v>
      </c>
      <c r="I35" s="5" t="s">
        <v>28</v>
      </c>
      <c r="J35" s="5" t="s">
        <v>27</v>
      </c>
      <c r="K35" s="5" t="s">
        <v>26</v>
      </c>
      <c r="L35" s="12" t="s">
        <v>25</v>
      </c>
      <c r="M35" s="12" t="s">
        <v>24</v>
      </c>
      <c r="Q35" s="6" t="s">
        <v>15</v>
      </c>
      <c r="R35" s="3">
        <v>7</v>
      </c>
      <c r="S35" s="3">
        <v>1</v>
      </c>
      <c r="T35" s="3">
        <v>7.5</v>
      </c>
      <c r="U35" s="3"/>
      <c r="V35" s="3"/>
      <c r="W35" s="3"/>
      <c r="X35" s="3"/>
      <c r="AA35" s="6" t="s">
        <v>15</v>
      </c>
      <c r="AB35" s="3">
        <f>R35/R7</f>
        <v>4.5901639344262293E-2</v>
      </c>
      <c r="AC35" s="3">
        <f>S35/S7</f>
        <v>1.3422818791946308E-2</v>
      </c>
      <c r="AD35" s="3">
        <f>T35/T7</f>
        <v>4.4378698224852069E-2</v>
      </c>
      <c r="AE35" s="3"/>
      <c r="AF35" s="3"/>
      <c r="AG35" s="3"/>
      <c r="AH35" s="3"/>
      <c r="AI35" s="3">
        <f>AVERAGE(AB35:AH35)</f>
        <v>3.4567718787020224E-2</v>
      </c>
    </row>
    <row r="36" spans="1:35" x14ac:dyDescent="0.2">
      <c r="A36" s="7" t="s">
        <v>39</v>
      </c>
      <c r="B36" s="8">
        <v>1</v>
      </c>
      <c r="C36" s="3">
        <v>1</v>
      </c>
      <c r="D36" s="3">
        <v>631</v>
      </c>
      <c r="E36" s="3">
        <f>54/D36*100</f>
        <v>8.5578446909667196</v>
      </c>
      <c r="F36" s="1">
        <f>AVERAGE(D36:D37)</f>
        <v>631.5</v>
      </c>
      <c r="G36" s="3">
        <v>574</v>
      </c>
      <c r="H36" s="3">
        <f>96/G36*100</f>
        <v>16.724738675958189</v>
      </c>
      <c r="I36" s="1">
        <f>AVERAGE(G36:G37)</f>
        <v>563</v>
      </c>
      <c r="J36" s="1">
        <f>I36</f>
        <v>563</v>
      </c>
      <c r="K36" s="1">
        <f>J36/F36</f>
        <v>0.89152810768012669</v>
      </c>
      <c r="L36" s="7">
        <f>AVERAGE(K36:K41)</f>
        <v>0.84640242633757123</v>
      </c>
      <c r="M36" s="7">
        <f>STDEV(K36:K41)</f>
        <v>6.8566713867021623E-2</v>
      </c>
      <c r="Q36" s="6" t="s">
        <v>14</v>
      </c>
      <c r="R36" s="3">
        <v>14</v>
      </c>
      <c r="S36" s="3">
        <v>8</v>
      </c>
      <c r="T36" s="3">
        <v>5.5</v>
      </c>
      <c r="U36" s="3"/>
      <c r="V36" s="3"/>
      <c r="W36" s="3"/>
      <c r="X36" s="3"/>
      <c r="AA36" s="6" t="s">
        <v>14</v>
      </c>
      <c r="AB36" s="3">
        <f>R36/R8</f>
        <v>2.4866785079928951E-2</v>
      </c>
      <c r="AC36" s="3">
        <f>S36/S8</f>
        <v>1.4209591474245116E-2</v>
      </c>
      <c r="AD36" s="3">
        <f>T36/T8</f>
        <v>1.7915309446254073E-2</v>
      </c>
      <c r="AE36" s="3"/>
      <c r="AF36" s="3"/>
      <c r="AG36" s="3"/>
      <c r="AH36" s="3"/>
      <c r="AI36" s="3">
        <f>AVERAGE(AB36:AH36)</f>
        <v>1.899722866680938E-2</v>
      </c>
    </row>
    <row r="37" spans="1:35" x14ac:dyDescent="0.2">
      <c r="A37" s="7"/>
      <c r="B37" s="8"/>
      <c r="C37" s="3">
        <v>2</v>
      </c>
      <c r="D37" s="3">
        <v>632</v>
      </c>
      <c r="E37" s="3">
        <f>54/D37*100</f>
        <v>8.5443037974683538</v>
      </c>
      <c r="F37" s="1"/>
      <c r="G37" s="3">
        <v>552</v>
      </c>
      <c r="H37" s="3">
        <f>98/G37*100</f>
        <v>17.753623188405797</v>
      </c>
      <c r="I37" s="1"/>
      <c r="J37" s="1"/>
      <c r="K37" s="1"/>
      <c r="L37" s="7"/>
      <c r="M37" s="7"/>
      <c r="Q37" s="6" t="s">
        <v>13</v>
      </c>
      <c r="R37" s="3">
        <v>101.5</v>
      </c>
      <c r="S37" s="3">
        <v>35.5</v>
      </c>
      <c r="T37" s="3">
        <v>68</v>
      </c>
      <c r="U37" s="3">
        <v>21</v>
      </c>
      <c r="V37" s="3">
        <v>15.5</v>
      </c>
      <c r="W37" s="3">
        <v>14</v>
      </c>
      <c r="X37" s="3">
        <v>20</v>
      </c>
      <c r="AA37" s="6" t="s">
        <v>13</v>
      </c>
      <c r="AB37" s="3">
        <f>R37/R9</f>
        <v>0.37592592592592594</v>
      </c>
      <c r="AC37" s="3">
        <f>S37/S9</f>
        <v>0.13148148148148148</v>
      </c>
      <c r="AD37" s="3">
        <f>T37/T9</f>
        <v>0.50370370370370365</v>
      </c>
      <c r="AE37" s="3">
        <f>U37/U9</f>
        <v>0.2857142857142857</v>
      </c>
      <c r="AF37" s="3">
        <f>V37/V9</f>
        <v>0.24409448818897639</v>
      </c>
      <c r="AG37" s="3">
        <f>W37/W9</f>
        <v>0.2413793103448276</v>
      </c>
      <c r="AH37" s="3">
        <f>X37/X9</f>
        <v>0.32258064516129031</v>
      </c>
      <c r="AI37" s="3">
        <f>AVERAGE(AB37:AH37)</f>
        <v>0.30069712007435584</v>
      </c>
    </row>
    <row r="38" spans="1:35" x14ac:dyDescent="0.2">
      <c r="A38" s="7"/>
      <c r="B38" s="8">
        <v>2</v>
      </c>
      <c r="C38" s="3">
        <v>1</v>
      </c>
      <c r="D38" s="3">
        <v>476</v>
      </c>
      <c r="E38" s="3">
        <f>63/D38*100</f>
        <v>13.23529411764706</v>
      </c>
      <c r="F38" s="1">
        <f>AVERAGE(D38:D39)</f>
        <v>446.5</v>
      </c>
      <c r="G38" s="3">
        <v>412</v>
      </c>
      <c r="H38" s="3">
        <f>82/G38*100</f>
        <v>19.902912621359224</v>
      </c>
      <c r="I38" s="1">
        <f>AVERAGE(G38:G39)</f>
        <v>393</v>
      </c>
      <c r="J38" s="1">
        <f>I38</f>
        <v>393</v>
      </c>
      <c r="K38" s="1">
        <f>J38/F38</f>
        <v>0.88017917133258683</v>
      </c>
      <c r="L38" s="7"/>
      <c r="M38" s="7"/>
    </row>
    <row r="39" spans="1:35" x14ac:dyDescent="0.2">
      <c r="A39" s="7"/>
      <c r="B39" s="8"/>
      <c r="C39" s="3">
        <v>2</v>
      </c>
      <c r="D39" s="3">
        <v>417</v>
      </c>
      <c r="E39" s="3">
        <f>55/D39*100</f>
        <v>13.189448441247004</v>
      </c>
      <c r="F39" s="1"/>
      <c r="G39" s="3">
        <v>374</v>
      </c>
      <c r="H39" s="3">
        <f>74/G39*100</f>
        <v>19.786096256684495</v>
      </c>
      <c r="I39" s="1"/>
      <c r="J39" s="1"/>
      <c r="K39" s="1"/>
      <c r="L39" s="7"/>
      <c r="M39" s="7"/>
      <c r="Q39" s="11" t="s">
        <v>38</v>
      </c>
      <c r="AA39" s="11" t="s">
        <v>37</v>
      </c>
    </row>
    <row r="40" spans="1:35" x14ac:dyDescent="0.2">
      <c r="A40" s="7"/>
      <c r="B40" s="8">
        <v>3</v>
      </c>
      <c r="C40" s="3">
        <v>1</v>
      </c>
      <c r="D40" s="3">
        <v>407</v>
      </c>
      <c r="E40" s="3">
        <f>38/D40*100</f>
        <v>9.3366093366093352</v>
      </c>
      <c r="F40" s="1">
        <f>AVERAGE(D40:D41)</f>
        <v>400</v>
      </c>
      <c r="G40" s="3">
        <v>336</v>
      </c>
      <c r="H40" s="3">
        <f>56/G40*100</f>
        <v>16.666666666666664</v>
      </c>
      <c r="I40" s="1">
        <f>AVERAGE(G40:G41)</f>
        <v>307</v>
      </c>
      <c r="J40" s="1">
        <f>I40</f>
        <v>307</v>
      </c>
      <c r="K40" s="1">
        <f>J40/F40</f>
        <v>0.76749999999999996</v>
      </c>
      <c r="L40" s="7"/>
      <c r="M40" s="7"/>
      <c r="R40" s="10">
        <v>1</v>
      </c>
      <c r="S40" s="10">
        <v>2</v>
      </c>
      <c r="T40" s="10">
        <v>3</v>
      </c>
      <c r="U40" s="9">
        <v>4</v>
      </c>
      <c r="V40" s="9">
        <v>5</v>
      </c>
      <c r="W40" s="9">
        <v>6</v>
      </c>
      <c r="X40" s="9">
        <v>7</v>
      </c>
      <c r="AB40" s="10">
        <v>1</v>
      </c>
      <c r="AC40" s="10">
        <v>2</v>
      </c>
      <c r="AD40" s="10">
        <v>3</v>
      </c>
      <c r="AE40" s="9">
        <v>4</v>
      </c>
      <c r="AF40" s="9">
        <v>5</v>
      </c>
      <c r="AG40" s="9">
        <v>6</v>
      </c>
      <c r="AH40" s="9">
        <v>7</v>
      </c>
      <c r="AI40" s="5" t="s">
        <v>18</v>
      </c>
    </row>
    <row r="41" spans="1:35" x14ac:dyDescent="0.2">
      <c r="A41" s="7"/>
      <c r="B41" s="8"/>
      <c r="C41" s="3">
        <v>2</v>
      </c>
      <c r="D41" s="3">
        <v>393</v>
      </c>
      <c r="E41" s="3">
        <f>53/D41*100</f>
        <v>13.486005089058525</v>
      </c>
      <c r="F41" s="1"/>
      <c r="G41" s="3">
        <v>278</v>
      </c>
      <c r="H41" s="3">
        <f>62/G41*100</f>
        <v>22.302158273381295</v>
      </c>
      <c r="I41" s="1"/>
      <c r="J41" s="1"/>
      <c r="K41" s="1"/>
      <c r="L41" s="7"/>
      <c r="M41" s="7"/>
      <c r="Q41" s="3" t="s">
        <v>17</v>
      </c>
      <c r="R41" s="3">
        <v>4</v>
      </c>
      <c r="S41" s="3">
        <v>4</v>
      </c>
      <c r="T41" s="3">
        <v>1.5</v>
      </c>
      <c r="U41" s="3">
        <v>0</v>
      </c>
      <c r="V41" s="3"/>
      <c r="W41" s="3"/>
      <c r="X41" s="3"/>
      <c r="AA41" s="3" t="s">
        <v>17</v>
      </c>
      <c r="AB41" s="3">
        <f>R41/R5</f>
        <v>1.171303074670571E-2</v>
      </c>
      <c r="AC41" s="3">
        <f>S41/S5</f>
        <v>2.9629629629629631E-2</v>
      </c>
      <c r="AD41" s="3">
        <f>T41/T5</f>
        <v>7.9787234042553185E-3</v>
      </c>
      <c r="AE41" s="3">
        <f>U41/U5</f>
        <v>0</v>
      </c>
      <c r="AF41" s="3"/>
      <c r="AG41" s="3"/>
      <c r="AH41" s="3"/>
      <c r="AI41" s="3">
        <f>AVERAGE(AB41:AH41)</f>
        <v>1.2330345945147664E-2</v>
      </c>
    </row>
    <row r="42" spans="1:35" x14ac:dyDescent="0.2">
      <c r="Q42" s="6" t="s">
        <v>16</v>
      </c>
      <c r="R42" s="3">
        <v>1</v>
      </c>
      <c r="S42" s="3">
        <v>0</v>
      </c>
      <c r="T42" s="3">
        <v>0</v>
      </c>
      <c r="U42" s="3">
        <v>0</v>
      </c>
      <c r="V42" s="3"/>
      <c r="W42" s="3"/>
      <c r="X42" s="3"/>
      <c r="AA42" s="6" t="s">
        <v>16</v>
      </c>
      <c r="AB42" s="3">
        <f>R42/R6</f>
        <v>2.5031289111389237E-3</v>
      </c>
      <c r="AC42" s="3">
        <f>S42/S6</f>
        <v>0</v>
      </c>
      <c r="AD42" s="3">
        <f>T42/T6</f>
        <v>0</v>
      </c>
      <c r="AE42" s="3">
        <f>U42/U6</f>
        <v>0</v>
      </c>
      <c r="AF42" s="3"/>
      <c r="AG42" s="3"/>
      <c r="AH42" s="3"/>
      <c r="AI42" s="3">
        <f>AVERAGE(AB42:AH42)</f>
        <v>6.2578222778473093E-4</v>
      </c>
    </row>
    <row r="43" spans="1:35" x14ac:dyDescent="0.2">
      <c r="Q43" s="6" t="s">
        <v>15</v>
      </c>
      <c r="R43" s="3">
        <v>2</v>
      </c>
      <c r="S43" s="3">
        <v>0.5</v>
      </c>
      <c r="T43" s="3">
        <v>1.5</v>
      </c>
      <c r="U43" s="3"/>
      <c r="V43" s="3"/>
      <c r="W43" s="3"/>
      <c r="X43" s="3"/>
      <c r="AA43" s="6" t="s">
        <v>15</v>
      </c>
      <c r="AB43" s="3">
        <f>R43/R7</f>
        <v>1.3114754098360656E-2</v>
      </c>
      <c r="AC43" s="3">
        <f>S43/S7</f>
        <v>6.7114093959731542E-3</v>
      </c>
      <c r="AD43" s="3">
        <f>T43/T7</f>
        <v>8.8757396449704144E-3</v>
      </c>
      <c r="AE43" s="3"/>
      <c r="AF43" s="3"/>
      <c r="AG43" s="3"/>
      <c r="AH43" s="3"/>
      <c r="AI43" s="3">
        <f>AVERAGE(AB43:AH43)</f>
        <v>9.5673010464347417E-3</v>
      </c>
    </row>
    <row r="44" spans="1:35" x14ac:dyDescent="0.2">
      <c r="Q44" s="6" t="s">
        <v>14</v>
      </c>
      <c r="R44" s="3">
        <v>1.5</v>
      </c>
      <c r="S44" s="3">
        <v>3</v>
      </c>
      <c r="T44" s="3">
        <v>4</v>
      </c>
      <c r="U44" s="3"/>
      <c r="V44" s="3"/>
      <c r="W44" s="3"/>
      <c r="X44" s="3"/>
      <c r="AA44" s="6" t="s">
        <v>14</v>
      </c>
      <c r="AB44" s="3">
        <f>R44/R8</f>
        <v>2.6642984014209592E-3</v>
      </c>
      <c r="AC44" s="3">
        <f>S44/S8</f>
        <v>5.3285968028419185E-3</v>
      </c>
      <c r="AD44" s="3">
        <f>T44/T8</f>
        <v>1.3029315960912053E-2</v>
      </c>
      <c r="AE44" s="3"/>
      <c r="AF44" s="3"/>
      <c r="AG44" s="3"/>
      <c r="AH44" s="3"/>
      <c r="AI44" s="3">
        <f>AVERAGE(AB44:AH44)</f>
        <v>7.0074037217249764E-3</v>
      </c>
    </row>
    <row r="45" spans="1:35" x14ac:dyDescent="0.2">
      <c r="A45" s="5" t="s">
        <v>36</v>
      </c>
      <c r="B45" s="5" t="s">
        <v>35</v>
      </c>
      <c r="C45" s="5" t="s">
        <v>34</v>
      </c>
      <c r="D45" s="5" t="s">
        <v>33</v>
      </c>
      <c r="E45" s="5" t="s">
        <v>32</v>
      </c>
      <c r="F45" s="5" t="s">
        <v>31</v>
      </c>
      <c r="G45" s="5" t="s">
        <v>30</v>
      </c>
      <c r="H45" s="5" t="s">
        <v>29</v>
      </c>
      <c r="I45" s="5" t="s">
        <v>28</v>
      </c>
      <c r="J45" s="5" t="s">
        <v>27</v>
      </c>
      <c r="K45" s="5" t="s">
        <v>26</v>
      </c>
      <c r="L45" s="12" t="s">
        <v>25</v>
      </c>
      <c r="M45" s="12" t="s">
        <v>24</v>
      </c>
      <c r="Q45" s="6" t="s">
        <v>13</v>
      </c>
      <c r="R45" s="3">
        <v>109.5</v>
      </c>
      <c r="S45" s="3">
        <v>23</v>
      </c>
      <c r="T45" s="3">
        <v>16.5</v>
      </c>
      <c r="U45" s="3">
        <v>14.5</v>
      </c>
      <c r="V45" s="3">
        <v>26.5</v>
      </c>
      <c r="W45" s="3">
        <v>23.5</v>
      </c>
      <c r="X45" s="3">
        <v>19.5</v>
      </c>
      <c r="AA45" s="6" t="s">
        <v>13</v>
      </c>
      <c r="AB45" s="3">
        <f>R45/R9</f>
        <v>0.40555555555555556</v>
      </c>
      <c r="AC45" s="3">
        <f>S45/S9</f>
        <v>8.5185185185185183E-2</v>
      </c>
      <c r="AD45" s="3">
        <f>T45/T9</f>
        <v>0.12222222222222222</v>
      </c>
      <c r="AE45" s="3">
        <f>U45/U9</f>
        <v>0.19727891156462585</v>
      </c>
      <c r="AF45" s="3">
        <f>V45/V9</f>
        <v>0.41732283464566927</v>
      </c>
      <c r="AG45" s="3">
        <f>W45/W9</f>
        <v>0.40517241379310343</v>
      </c>
      <c r="AH45" s="3">
        <f>X45/X9</f>
        <v>0.31451612903225806</v>
      </c>
      <c r="AI45" s="3">
        <f>AVERAGE(AB45:AH45)</f>
        <v>0.27817903599980276</v>
      </c>
    </row>
    <row r="46" spans="1:35" x14ac:dyDescent="0.2">
      <c r="A46" s="7" t="s">
        <v>23</v>
      </c>
      <c r="B46" s="8">
        <v>1</v>
      </c>
      <c r="C46" s="3">
        <v>1</v>
      </c>
      <c r="D46" s="3">
        <v>216</v>
      </c>
      <c r="E46" s="3">
        <f>3/D46*100</f>
        <v>1.3888888888888888</v>
      </c>
      <c r="F46" s="1">
        <f>AVERAGE(D46:D47)</f>
        <v>223</v>
      </c>
      <c r="G46" s="3">
        <v>255</v>
      </c>
      <c r="H46" s="3">
        <f>115/G46*100</f>
        <v>45.098039215686278</v>
      </c>
      <c r="I46" s="1">
        <f>AVERAGE(G46:G47)</f>
        <v>270</v>
      </c>
      <c r="J46" s="1">
        <f>I46/250</f>
        <v>1.08</v>
      </c>
      <c r="K46" s="1">
        <f>J46/F46</f>
        <v>4.8430493273542603E-3</v>
      </c>
      <c r="L46" s="7">
        <f>AVERAGE(K46:K59)</f>
        <v>5.8414283760651314E-3</v>
      </c>
      <c r="M46" s="7">
        <f>STDEV(K46:K59)</f>
        <v>1.0555171973853626E-3</v>
      </c>
    </row>
    <row r="47" spans="1:35" x14ac:dyDescent="0.2">
      <c r="A47" s="7"/>
      <c r="B47" s="8"/>
      <c r="C47" s="3">
        <v>2</v>
      </c>
      <c r="D47" s="3">
        <v>230</v>
      </c>
      <c r="E47" s="3">
        <f>2/D47*100</f>
        <v>0.86956521739130432</v>
      </c>
      <c r="F47" s="1"/>
      <c r="G47" s="3">
        <v>285</v>
      </c>
      <c r="H47" s="3">
        <f>112/G47*100</f>
        <v>39.298245614035089</v>
      </c>
      <c r="I47" s="1"/>
      <c r="J47" s="1"/>
      <c r="K47" s="1"/>
      <c r="L47" s="7"/>
      <c r="M47" s="7"/>
      <c r="Q47" s="11" t="s">
        <v>22</v>
      </c>
      <c r="AA47" s="11" t="s">
        <v>21</v>
      </c>
    </row>
    <row r="48" spans="1:35" x14ac:dyDescent="0.2">
      <c r="A48" s="7"/>
      <c r="B48" s="8">
        <v>2</v>
      </c>
      <c r="C48" s="3">
        <v>1</v>
      </c>
      <c r="D48" s="3">
        <v>51</v>
      </c>
      <c r="E48" s="3">
        <f>0/D48*100</f>
        <v>0</v>
      </c>
      <c r="F48" s="1">
        <f>AVERAGE(D48:D49)</f>
        <v>62.5</v>
      </c>
      <c r="G48" s="3">
        <v>79</v>
      </c>
      <c r="H48" s="3">
        <f>19/G48*100</f>
        <v>24.050632911392405</v>
      </c>
      <c r="I48" s="1">
        <f>AVERAGE(G48:G49)</f>
        <v>77.5</v>
      </c>
      <c r="J48" s="1">
        <f>I48/250</f>
        <v>0.31</v>
      </c>
      <c r="K48" s="1">
        <f>J48/F48</f>
        <v>4.96E-3</v>
      </c>
      <c r="L48" s="7"/>
      <c r="M48" s="7"/>
      <c r="R48" s="10">
        <v>1</v>
      </c>
      <c r="S48" s="10">
        <v>2</v>
      </c>
      <c r="T48" s="10">
        <v>3</v>
      </c>
      <c r="U48" s="9">
        <v>4</v>
      </c>
      <c r="V48" s="9">
        <v>5</v>
      </c>
      <c r="W48" s="9">
        <v>6</v>
      </c>
      <c r="X48" s="9">
        <v>7</v>
      </c>
      <c r="AB48" s="10">
        <v>1</v>
      </c>
      <c r="AC48" s="10">
        <v>2</v>
      </c>
      <c r="AD48" s="10">
        <v>3</v>
      </c>
      <c r="AE48" s="9">
        <v>4</v>
      </c>
      <c r="AF48" s="9">
        <v>5</v>
      </c>
      <c r="AG48" s="9">
        <v>6</v>
      </c>
      <c r="AH48" s="9">
        <v>7</v>
      </c>
      <c r="AI48" s="5" t="s">
        <v>18</v>
      </c>
    </row>
    <row r="49" spans="1:35" x14ac:dyDescent="0.2">
      <c r="A49" s="7"/>
      <c r="B49" s="8"/>
      <c r="C49" s="3">
        <v>2</v>
      </c>
      <c r="D49" s="3">
        <v>74</v>
      </c>
      <c r="E49" s="3">
        <f>0/D49*100</f>
        <v>0</v>
      </c>
      <c r="F49" s="1"/>
      <c r="G49" s="3">
        <v>76</v>
      </c>
      <c r="H49" s="3">
        <f>32/G49*100</f>
        <v>42.105263157894733</v>
      </c>
      <c r="I49" s="1"/>
      <c r="J49" s="1"/>
      <c r="K49" s="1"/>
      <c r="L49" s="7"/>
      <c r="M49" s="7"/>
      <c r="Q49" s="3" t="s">
        <v>17</v>
      </c>
      <c r="R49" s="3">
        <v>219</v>
      </c>
      <c r="S49" s="3">
        <v>84</v>
      </c>
      <c r="T49" s="3">
        <v>123.5</v>
      </c>
      <c r="U49" s="3">
        <v>402.5</v>
      </c>
      <c r="V49" s="3"/>
      <c r="W49" s="3"/>
      <c r="X49" s="3"/>
      <c r="AA49" s="3" t="s">
        <v>17</v>
      </c>
      <c r="AB49" s="3">
        <f>R49/R5</f>
        <v>0.64128843338213759</v>
      </c>
      <c r="AC49" s="3">
        <f>S49/S5</f>
        <v>0.62222222222222223</v>
      </c>
      <c r="AD49" s="3">
        <f>T49/T5</f>
        <v>0.65691489361702127</v>
      </c>
      <c r="AE49" s="3">
        <f>U49/U5</f>
        <v>0.7544517338331771</v>
      </c>
      <c r="AF49" s="3"/>
      <c r="AG49" s="3"/>
      <c r="AH49" s="3"/>
      <c r="AI49" s="3">
        <f>AVERAGE(AB49:AH49)</f>
        <v>0.66871932076363949</v>
      </c>
    </row>
    <row r="50" spans="1:35" x14ac:dyDescent="0.2">
      <c r="A50" s="7"/>
      <c r="B50" s="8">
        <v>3</v>
      </c>
      <c r="C50" s="3">
        <v>1</v>
      </c>
      <c r="D50" s="3">
        <v>74</v>
      </c>
      <c r="E50" s="3">
        <f>0/D50*100</f>
        <v>0</v>
      </c>
      <c r="F50" s="1">
        <f>AVERAGE(D50:D51)</f>
        <v>75</v>
      </c>
      <c r="G50" s="3">
        <v>130</v>
      </c>
      <c r="H50" s="3">
        <f>24/G50*100</f>
        <v>18.461538461538463</v>
      </c>
      <c r="I50" s="1">
        <f>AVERAGE(G50:G51)</f>
        <v>135</v>
      </c>
      <c r="J50" s="1">
        <f>I50/250</f>
        <v>0.54</v>
      </c>
      <c r="K50" s="1">
        <f>J50/F50</f>
        <v>7.2000000000000007E-3</v>
      </c>
      <c r="L50" s="7"/>
      <c r="M50" s="7"/>
      <c r="Q50" s="6" t="s">
        <v>16</v>
      </c>
      <c r="R50" s="3">
        <v>296</v>
      </c>
      <c r="S50" s="3">
        <v>129</v>
      </c>
      <c r="T50" s="3">
        <v>165</v>
      </c>
      <c r="U50" s="3">
        <v>107.5</v>
      </c>
      <c r="V50" s="3"/>
      <c r="W50" s="3"/>
      <c r="X50" s="3"/>
      <c r="AA50" s="6" t="s">
        <v>16</v>
      </c>
      <c r="AB50" s="3">
        <f>R50/R6</f>
        <v>0.74092615769712145</v>
      </c>
      <c r="AC50" s="3">
        <f>S50/S6</f>
        <v>0.73925501432664753</v>
      </c>
      <c r="AD50" s="3">
        <f>T50/T6</f>
        <v>0.85492227979274615</v>
      </c>
      <c r="AE50" s="3">
        <f>U50/U6</f>
        <v>0.88114754098360659</v>
      </c>
      <c r="AF50" s="3"/>
      <c r="AG50" s="3"/>
      <c r="AH50" s="3"/>
      <c r="AI50" s="3">
        <f>AVERAGE(AB50:AH50)</f>
        <v>0.80406274820003043</v>
      </c>
    </row>
    <row r="51" spans="1:35" x14ac:dyDescent="0.2">
      <c r="A51" s="7"/>
      <c r="B51" s="8"/>
      <c r="C51" s="3">
        <v>2</v>
      </c>
      <c r="D51" s="3">
        <v>76</v>
      </c>
      <c r="E51" s="3">
        <f>0/D51*100</f>
        <v>0</v>
      </c>
      <c r="F51" s="1"/>
      <c r="G51" s="3">
        <v>140</v>
      </c>
      <c r="H51" s="3">
        <f>31/G51*100</f>
        <v>22.142857142857142</v>
      </c>
      <c r="I51" s="1"/>
      <c r="J51" s="1"/>
      <c r="K51" s="1"/>
      <c r="L51" s="7"/>
      <c r="M51" s="7"/>
      <c r="Q51" s="6" t="s">
        <v>15</v>
      </c>
      <c r="R51" s="3">
        <v>96.5</v>
      </c>
      <c r="S51" s="3">
        <v>56</v>
      </c>
      <c r="T51" s="3">
        <v>112</v>
      </c>
      <c r="U51" s="3"/>
      <c r="V51" s="3"/>
      <c r="W51" s="3"/>
      <c r="X51" s="3"/>
      <c r="AA51" s="6" t="s">
        <v>15</v>
      </c>
      <c r="AB51" s="3">
        <f>R51/R7</f>
        <v>0.63278688524590165</v>
      </c>
      <c r="AC51" s="3">
        <f>S51/S7</f>
        <v>0.75167785234899331</v>
      </c>
      <c r="AD51" s="3">
        <f>T51/T7</f>
        <v>0.66272189349112431</v>
      </c>
      <c r="AE51" s="3"/>
      <c r="AF51" s="3"/>
      <c r="AG51" s="3"/>
      <c r="AH51" s="3"/>
      <c r="AI51" s="3">
        <f>AVERAGE(AB51:AH51)</f>
        <v>0.68239554369533961</v>
      </c>
    </row>
    <row r="52" spans="1:35" x14ac:dyDescent="0.2">
      <c r="A52" s="7"/>
      <c r="B52" s="8">
        <v>4</v>
      </c>
      <c r="C52" s="3">
        <v>1</v>
      </c>
      <c r="D52" s="3">
        <v>56</v>
      </c>
      <c r="E52" s="3">
        <f>0/D52*100</f>
        <v>0</v>
      </c>
      <c r="F52" s="1">
        <f>AVERAGE(D52:D53)</f>
        <v>62.5</v>
      </c>
      <c r="G52" s="3">
        <v>90</v>
      </c>
      <c r="H52" s="3">
        <f>28/G52*100</f>
        <v>31.111111111111111</v>
      </c>
      <c r="I52" s="1">
        <f>AVERAGE(G52:G53)</f>
        <v>73.5</v>
      </c>
      <c r="J52" s="1">
        <f>I52/250</f>
        <v>0.29399999999999998</v>
      </c>
      <c r="K52" s="1">
        <f>J52/F52</f>
        <v>4.7039999999999998E-3</v>
      </c>
      <c r="L52" s="7"/>
      <c r="M52" s="7"/>
      <c r="Q52" s="6" t="s">
        <v>14</v>
      </c>
      <c r="R52" s="3">
        <v>405</v>
      </c>
      <c r="S52" s="3">
        <v>289</v>
      </c>
      <c r="T52" s="3">
        <v>221.5</v>
      </c>
      <c r="U52" s="3"/>
      <c r="V52" s="3"/>
      <c r="W52" s="3"/>
      <c r="X52" s="3"/>
      <c r="AA52" s="6" t="s">
        <v>14</v>
      </c>
      <c r="AB52" s="3">
        <f>R52/R8</f>
        <v>0.71936056838365892</v>
      </c>
      <c r="AC52" s="3">
        <f>S52/S8</f>
        <v>0.51332149200710475</v>
      </c>
      <c r="AD52" s="3">
        <f>T52/T8</f>
        <v>0.72149837133550487</v>
      </c>
      <c r="AE52" s="3"/>
      <c r="AF52" s="3"/>
      <c r="AG52" s="3"/>
      <c r="AH52" s="3"/>
      <c r="AI52" s="3">
        <f>AVERAGE(AB52:AH52)</f>
        <v>0.65139347724208951</v>
      </c>
    </row>
    <row r="53" spans="1:35" x14ac:dyDescent="0.2">
      <c r="A53" s="7"/>
      <c r="B53" s="8"/>
      <c r="C53" s="3">
        <v>2</v>
      </c>
      <c r="D53" s="3">
        <v>69</v>
      </c>
      <c r="E53" s="3">
        <f>0/D53*100</f>
        <v>0</v>
      </c>
      <c r="F53" s="1"/>
      <c r="G53" s="3">
        <v>57</v>
      </c>
      <c r="H53" s="3">
        <f>14/G53*100</f>
        <v>24.561403508771928</v>
      </c>
      <c r="I53" s="1"/>
      <c r="J53" s="1"/>
      <c r="K53" s="1"/>
      <c r="L53" s="7"/>
      <c r="M53" s="7"/>
      <c r="Q53" s="6" t="s">
        <v>13</v>
      </c>
      <c r="R53" s="3">
        <v>55</v>
      </c>
      <c r="S53" s="3">
        <v>16.5</v>
      </c>
      <c r="T53" s="3">
        <v>39.5</v>
      </c>
      <c r="U53" s="3">
        <v>31.5</v>
      </c>
      <c r="V53" s="3">
        <v>19.5</v>
      </c>
      <c r="W53" s="3">
        <v>19</v>
      </c>
      <c r="X53" s="3">
        <v>18</v>
      </c>
      <c r="AA53" s="6" t="s">
        <v>13</v>
      </c>
      <c r="AB53" s="3">
        <f>R53/R9</f>
        <v>0.20370370370370369</v>
      </c>
      <c r="AC53" s="3">
        <f>S53/S9</f>
        <v>6.1111111111111109E-2</v>
      </c>
      <c r="AD53" s="3">
        <f>T53/T9</f>
        <v>0.29259259259259257</v>
      </c>
      <c r="AE53" s="3">
        <f>U53/U9</f>
        <v>0.42857142857142855</v>
      </c>
      <c r="AF53" s="3">
        <f>V53/V9</f>
        <v>0.30708661417322836</v>
      </c>
      <c r="AG53" s="3">
        <f>W53/W9</f>
        <v>0.32758620689655171</v>
      </c>
      <c r="AH53" s="3">
        <f>X53/X9</f>
        <v>0.29032258064516131</v>
      </c>
      <c r="AI53" s="3">
        <f>AVERAGE(AB53:AH53)</f>
        <v>0.27299631967053961</v>
      </c>
    </row>
    <row r="54" spans="1:35" x14ac:dyDescent="0.2">
      <c r="A54" s="7"/>
      <c r="B54" s="8">
        <v>5</v>
      </c>
      <c r="C54" s="3">
        <v>1</v>
      </c>
      <c r="D54" s="3">
        <v>49</v>
      </c>
      <c r="E54" s="3">
        <f>1/D54*100</f>
        <v>2.0408163265306123</v>
      </c>
      <c r="F54" s="1">
        <f>AVERAGE(D54:D55)</f>
        <v>45.5</v>
      </c>
      <c r="G54" s="3">
        <v>60</v>
      </c>
      <c r="H54" s="3">
        <f>32/G54*100</f>
        <v>53.333333333333336</v>
      </c>
      <c r="I54" s="1">
        <f>AVERAGE(G54:G55)</f>
        <v>63.5</v>
      </c>
      <c r="J54" s="1">
        <f>I54/200</f>
        <v>0.3175</v>
      </c>
      <c r="K54" s="1">
        <f>J54/F54</f>
        <v>6.9780219780219777E-3</v>
      </c>
      <c r="L54" s="7"/>
      <c r="M54" s="7"/>
    </row>
    <row r="55" spans="1:35" x14ac:dyDescent="0.2">
      <c r="A55" s="7"/>
      <c r="B55" s="8"/>
      <c r="C55" s="3">
        <v>2</v>
      </c>
      <c r="D55" s="3">
        <v>42</v>
      </c>
      <c r="E55" s="3">
        <f>0/D55*100</f>
        <v>0</v>
      </c>
      <c r="F55" s="1"/>
      <c r="G55" s="3">
        <v>67</v>
      </c>
      <c r="H55" s="3">
        <f>38/G55*100</f>
        <v>56.71641791044776</v>
      </c>
      <c r="I55" s="1"/>
      <c r="J55" s="1"/>
      <c r="K55" s="1"/>
      <c r="L55" s="7"/>
      <c r="M55" s="7"/>
      <c r="Q55" s="11" t="s">
        <v>20</v>
      </c>
      <c r="AA55" s="11" t="s">
        <v>19</v>
      </c>
    </row>
    <row r="56" spans="1:35" x14ac:dyDescent="0.2">
      <c r="A56" s="7"/>
      <c r="B56" s="8">
        <v>6</v>
      </c>
      <c r="C56" s="3">
        <v>1</v>
      </c>
      <c r="D56" s="3">
        <v>47</v>
      </c>
      <c r="E56" s="3">
        <f>2/D56*100</f>
        <v>4.2553191489361701</v>
      </c>
      <c r="F56" s="1">
        <f>AVERAGE(D56:D57)</f>
        <v>44.5</v>
      </c>
      <c r="G56" s="3">
        <v>63</v>
      </c>
      <c r="H56" s="3">
        <f>34/G56*100</f>
        <v>53.968253968253968</v>
      </c>
      <c r="I56" s="1">
        <f>AVERAGE(G56:G57)</f>
        <v>58</v>
      </c>
      <c r="J56" s="1">
        <f>I56/200</f>
        <v>0.28999999999999998</v>
      </c>
      <c r="K56" s="1">
        <f>J56/F56</f>
        <v>6.5168539325842689E-3</v>
      </c>
      <c r="L56" s="7"/>
      <c r="M56" s="7"/>
      <c r="R56" s="10">
        <v>1</v>
      </c>
      <c r="S56" s="10">
        <v>2</v>
      </c>
      <c r="T56" s="10">
        <v>3</v>
      </c>
      <c r="U56" s="9">
        <v>4</v>
      </c>
      <c r="V56" s="9">
        <v>5</v>
      </c>
      <c r="W56" s="9">
        <v>6</v>
      </c>
      <c r="X56" s="9">
        <v>7</v>
      </c>
      <c r="AB56" s="10">
        <v>1</v>
      </c>
      <c r="AC56" s="10">
        <v>2</v>
      </c>
      <c r="AD56" s="10">
        <v>3</v>
      </c>
      <c r="AE56" s="9">
        <v>4</v>
      </c>
      <c r="AF56" s="9">
        <v>5</v>
      </c>
      <c r="AG56" s="9">
        <v>6</v>
      </c>
      <c r="AH56" s="9">
        <v>7</v>
      </c>
      <c r="AI56" s="5" t="s">
        <v>18</v>
      </c>
    </row>
    <row r="57" spans="1:35" x14ac:dyDescent="0.2">
      <c r="A57" s="7"/>
      <c r="B57" s="8"/>
      <c r="C57" s="3">
        <v>2</v>
      </c>
      <c r="D57" s="3">
        <v>42</v>
      </c>
      <c r="E57" s="3">
        <f>3/D57*100</f>
        <v>7.1428571428571423</v>
      </c>
      <c r="F57" s="1"/>
      <c r="G57" s="3">
        <v>53</v>
      </c>
      <c r="H57" s="3">
        <f>32/G57*100</f>
        <v>60.377358490566039</v>
      </c>
      <c r="I57" s="1"/>
      <c r="J57" s="1"/>
      <c r="K57" s="1"/>
      <c r="L57" s="7"/>
      <c r="M57" s="7"/>
      <c r="Q57" s="3" t="s">
        <v>17</v>
      </c>
      <c r="R57" s="3">
        <v>102</v>
      </c>
      <c r="S57" s="3">
        <v>42.5</v>
      </c>
      <c r="T57" s="3">
        <v>59.5</v>
      </c>
      <c r="U57" s="3">
        <v>121.5</v>
      </c>
      <c r="V57" s="3"/>
      <c r="W57" s="3"/>
      <c r="X57" s="3"/>
      <c r="AA57" s="3" t="s">
        <v>17</v>
      </c>
      <c r="AB57" s="3">
        <f>R57/R5</f>
        <v>0.29868228404099562</v>
      </c>
      <c r="AC57" s="3">
        <f>S57/S5</f>
        <v>0.31481481481481483</v>
      </c>
      <c r="AD57" s="3">
        <f>T57/T5</f>
        <v>0.31648936170212766</v>
      </c>
      <c r="AE57" s="3">
        <f>U57/U5</f>
        <v>0.22774133083411435</v>
      </c>
      <c r="AF57" s="3"/>
      <c r="AG57" s="3"/>
      <c r="AH57" s="3"/>
      <c r="AI57" s="3">
        <f>AVERAGE(AB57:AH57)</f>
        <v>0.28943194784801307</v>
      </c>
    </row>
    <row r="58" spans="1:35" x14ac:dyDescent="0.2">
      <c r="A58" s="7"/>
      <c r="B58" s="8">
        <v>7</v>
      </c>
      <c r="C58" s="3">
        <v>1</v>
      </c>
      <c r="D58" s="3">
        <v>57</v>
      </c>
      <c r="E58" s="3">
        <f>1/D58*100</f>
        <v>1.7543859649122806</v>
      </c>
      <c r="F58" s="1">
        <f>AVERAGE(D58:D59)</f>
        <v>54.5</v>
      </c>
      <c r="G58" s="3">
        <v>66</v>
      </c>
      <c r="H58" s="3">
        <f>45/G58*100</f>
        <v>68.181818181818173</v>
      </c>
      <c r="I58" s="1">
        <f>AVERAGE(G58:G59)</f>
        <v>62</v>
      </c>
      <c r="J58" s="1">
        <f>I58/200</f>
        <v>0.31</v>
      </c>
      <c r="K58" s="1">
        <f>J58/F58</f>
        <v>5.688073394495413E-3</v>
      </c>
      <c r="L58" s="7"/>
      <c r="M58" s="7"/>
      <c r="Q58" s="6" t="s">
        <v>16</v>
      </c>
      <c r="R58" s="3">
        <v>91</v>
      </c>
      <c r="S58" s="3">
        <v>40.5</v>
      </c>
      <c r="T58" s="3">
        <v>18</v>
      </c>
      <c r="U58" s="3">
        <v>10</v>
      </c>
      <c r="V58" s="3"/>
      <c r="W58" s="3"/>
      <c r="X58" s="3"/>
      <c r="AA58" s="6" t="s">
        <v>16</v>
      </c>
      <c r="AB58" s="3">
        <f>R58/R6</f>
        <v>0.22778473091364204</v>
      </c>
      <c r="AC58" s="3">
        <f>S58/S6</f>
        <v>0.23209169054441262</v>
      </c>
      <c r="AD58" s="3">
        <f>T58/T6</f>
        <v>9.3264248704663211E-2</v>
      </c>
      <c r="AE58" s="3">
        <f>U58/U6</f>
        <v>8.1967213114754092E-2</v>
      </c>
      <c r="AF58" s="3"/>
      <c r="AG58" s="3"/>
      <c r="AH58" s="3"/>
      <c r="AI58" s="3">
        <f>AVERAGE(AB58:AH58)</f>
        <v>0.15877697081936798</v>
      </c>
    </row>
    <row r="59" spans="1:35" x14ac:dyDescent="0.2">
      <c r="A59" s="7"/>
      <c r="B59" s="8"/>
      <c r="C59" s="3">
        <v>2</v>
      </c>
      <c r="D59" s="3">
        <v>52</v>
      </c>
      <c r="E59" s="3">
        <f>0/D59*100</f>
        <v>0</v>
      </c>
      <c r="F59" s="1"/>
      <c r="G59" s="3">
        <v>58</v>
      </c>
      <c r="H59" s="3">
        <f>31/G59*100</f>
        <v>53.448275862068961</v>
      </c>
      <c r="I59" s="1"/>
      <c r="J59" s="1"/>
      <c r="K59" s="1"/>
      <c r="L59" s="7"/>
      <c r="M59" s="7"/>
      <c r="Q59" s="6" t="s">
        <v>15</v>
      </c>
      <c r="R59" s="3">
        <v>47</v>
      </c>
      <c r="S59" s="3">
        <v>17</v>
      </c>
      <c r="T59" s="3">
        <v>48</v>
      </c>
      <c r="U59" s="3"/>
      <c r="V59" s="3"/>
      <c r="W59" s="3"/>
      <c r="X59" s="3"/>
      <c r="AA59" s="6" t="s">
        <v>15</v>
      </c>
      <c r="AB59" s="3">
        <f>R59/R7</f>
        <v>0.30819672131147541</v>
      </c>
      <c r="AC59" s="3">
        <f>S59/S7</f>
        <v>0.22818791946308725</v>
      </c>
      <c r="AD59" s="3">
        <f>T59/T7</f>
        <v>0.28402366863905326</v>
      </c>
      <c r="AE59" s="3"/>
      <c r="AF59" s="3"/>
      <c r="AG59" s="3"/>
      <c r="AH59" s="3"/>
      <c r="AI59" s="3">
        <f>AVERAGE(AB59:AH59)</f>
        <v>0.27346943647120531</v>
      </c>
    </row>
    <row r="60" spans="1:35" x14ac:dyDescent="0.2">
      <c r="Q60" s="6" t="s">
        <v>14</v>
      </c>
      <c r="R60" s="3">
        <v>142.5</v>
      </c>
      <c r="S60" s="3">
        <v>93</v>
      </c>
      <c r="T60" s="3">
        <v>76</v>
      </c>
      <c r="U60" s="3"/>
      <c r="V60" s="3"/>
      <c r="W60" s="3"/>
      <c r="X60" s="3"/>
      <c r="AA60" s="6" t="s">
        <v>14</v>
      </c>
      <c r="AB60" s="3">
        <f>R60/R8</f>
        <v>0.25310834813499111</v>
      </c>
      <c r="AC60" s="3">
        <f>S60/S8</f>
        <v>0.16518650088809947</v>
      </c>
      <c r="AD60" s="3">
        <f>T60/T8</f>
        <v>0.24755700325732899</v>
      </c>
      <c r="AE60" s="3"/>
      <c r="AF60" s="3"/>
      <c r="AG60" s="3"/>
      <c r="AH60" s="3"/>
      <c r="AI60" s="3">
        <f>AVERAGE(AB60:AH60)</f>
        <v>0.22195061742680652</v>
      </c>
    </row>
    <row r="61" spans="1:35" x14ac:dyDescent="0.2">
      <c r="Q61" s="6" t="s">
        <v>13</v>
      </c>
      <c r="R61" s="3">
        <v>4</v>
      </c>
      <c r="S61" s="3">
        <v>2.5</v>
      </c>
      <c r="T61" s="3">
        <v>11</v>
      </c>
      <c r="U61" s="3">
        <v>6.5</v>
      </c>
      <c r="V61" s="3">
        <v>2</v>
      </c>
      <c r="W61" s="3">
        <v>1.5</v>
      </c>
      <c r="X61" s="3">
        <v>4.5</v>
      </c>
      <c r="AA61" s="6" t="s">
        <v>13</v>
      </c>
      <c r="AB61" s="3">
        <f>R61/R9</f>
        <v>1.4814814814814815E-2</v>
      </c>
      <c r="AC61" s="3">
        <f>S61/S9</f>
        <v>9.2592592592592587E-3</v>
      </c>
      <c r="AD61" s="3">
        <f>T61/T9</f>
        <v>8.1481481481481488E-2</v>
      </c>
      <c r="AE61" s="3">
        <f>U61/U9</f>
        <v>8.8435374149659865E-2</v>
      </c>
      <c r="AF61" s="3">
        <f>V61/V9</f>
        <v>3.1496062992125984E-2</v>
      </c>
      <c r="AG61" s="3">
        <f>W61/W9</f>
        <v>2.5862068965517241E-2</v>
      </c>
      <c r="AH61" s="3">
        <f>X61/X9</f>
        <v>7.2580645161290328E-2</v>
      </c>
      <c r="AI61" s="3">
        <f>AVERAGE(AB61:AH61)</f>
        <v>4.6275672403449854E-2</v>
      </c>
    </row>
    <row r="63" spans="1:35" x14ac:dyDescent="0.2">
      <c r="A63" s="5" t="s">
        <v>12</v>
      </c>
      <c r="B63" s="5" t="s">
        <v>11</v>
      </c>
      <c r="C63" s="4" t="s">
        <v>10</v>
      </c>
      <c r="D63" s="4"/>
    </row>
    <row r="64" spans="1:35" x14ac:dyDescent="0.2">
      <c r="A64" s="3" t="s">
        <v>9</v>
      </c>
      <c r="B64" s="2">
        <f>TTEST(K2:K9,K14:K21,2,3)</f>
        <v>4.6248813845793024E-3</v>
      </c>
      <c r="C64" s="1" t="s">
        <v>2</v>
      </c>
      <c r="D64" s="1"/>
    </row>
    <row r="65" spans="1:4" x14ac:dyDescent="0.2">
      <c r="A65" s="3" t="s">
        <v>8</v>
      </c>
      <c r="B65" s="2">
        <f>TTEST(K2:K9,K26:K31,2,3)</f>
        <v>0.3393313382995144</v>
      </c>
      <c r="C65" s="1" t="s">
        <v>0</v>
      </c>
      <c r="D65" s="1"/>
    </row>
    <row r="66" spans="1:4" x14ac:dyDescent="0.2">
      <c r="A66" s="3" t="s">
        <v>7</v>
      </c>
      <c r="B66" s="2">
        <f>TTEST(K2:K9,K36:K41,2,3)</f>
        <v>0.26993240482658598</v>
      </c>
      <c r="C66" s="1" t="s">
        <v>0</v>
      </c>
      <c r="D66" s="1"/>
    </row>
    <row r="67" spans="1:4" x14ac:dyDescent="0.2">
      <c r="A67" s="3" t="s">
        <v>6</v>
      </c>
      <c r="B67" s="2">
        <f>TTEST(K2:K9,K46:K59,2,3)</f>
        <v>2.8440953463989107E-4</v>
      </c>
      <c r="C67" s="1" t="s">
        <v>5</v>
      </c>
      <c r="D67" s="1"/>
    </row>
    <row r="68" spans="1:4" x14ac:dyDescent="0.2">
      <c r="A68" s="3" t="s">
        <v>4</v>
      </c>
      <c r="B68" s="2">
        <f>TTEST(K26:K31,K46:K59,2,3)</f>
        <v>7.7898611189913787E-3</v>
      </c>
      <c r="C68" s="1" t="s">
        <v>2</v>
      </c>
      <c r="D68" s="1"/>
    </row>
    <row r="69" spans="1:4" x14ac:dyDescent="0.2">
      <c r="A69" s="3" t="s">
        <v>3</v>
      </c>
      <c r="B69" s="2">
        <f>TTEST(K36:K41,K46:K59,2,3)</f>
        <v>2.2087394253446505E-3</v>
      </c>
      <c r="C69" s="1" t="s">
        <v>2</v>
      </c>
      <c r="D69" s="1"/>
    </row>
    <row r="70" spans="1:4" x14ac:dyDescent="0.2">
      <c r="A70" s="3" t="s">
        <v>1</v>
      </c>
      <c r="B70" s="2">
        <f>TTEST(K26:K31,K36:K41,2,3)</f>
        <v>0.82854107185627912</v>
      </c>
      <c r="C70" s="1" t="s">
        <v>0</v>
      </c>
      <c r="D70" s="1"/>
    </row>
  </sheetData>
  <mergeCells count="128">
    <mergeCell ref="C69:D69"/>
    <mergeCell ref="C70:D70"/>
    <mergeCell ref="C63:D63"/>
    <mergeCell ref="C64:D64"/>
    <mergeCell ref="C65:D65"/>
    <mergeCell ref="C66:D66"/>
    <mergeCell ref="C67:D67"/>
    <mergeCell ref="C68:D68"/>
    <mergeCell ref="L46:L59"/>
    <mergeCell ref="F56:F57"/>
    <mergeCell ref="I56:I57"/>
    <mergeCell ref="J56:J57"/>
    <mergeCell ref="K56:K57"/>
    <mergeCell ref="B58:B59"/>
    <mergeCell ref="F58:F59"/>
    <mergeCell ref="B56:B57"/>
    <mergeCell ref="F50:F51"/>
    <mergeCell ref="I50:I51"/>
    <mergeCell ref="I52:I53"/>
    <mergeCell ref="J52:J53"/>
    <mergeCell ref="K52:K53"/>
    <mergeCell ref="B54:B55"/>
    <mergeCell ref="F54:F55"/>
    <mergeCell ref="I54:I55"/>
    <mergeCell ref="J54:J55"/>
    <mergeCell ref="K54:K55"/>
    <mergeCell ref="I58:I59"/>
    <mergeCell ref="J58:J59"/>
    <mergeCell ref="K58:K59"/>
    <mergeCell ref="M46:M59"/>
    <mergeCell ref="B48:B49"/>
    <mergeCell ref="F48:F49"/>
    <mergeCell ref="I48:I49"/>
    <mergeCell ref="J48:J49"/>
    <mergeCell ref="K48:K49"/>
    <mergeCell ref="B50:B51"/>
    <mergeCell ref="A46:A59"/>
    <mergeCell ref="B46:B47"/>
    <mergeCell ref="F46:F47"/>
    <mergeCell ref="I46:I47"/>
    <mergeCell ref="J46:J47"/>
    <mergeCell ref="K46:K47"/>
    <mergeCell ref="J50:J51"/>
    <mergeCell ref="K50:K51"/>
    <mergeCell ref="B52:B53"/>
    <mergeCell ref="F52:F53"/>
    <mergeCell ref="L26:L31"/>
    <mergeCell ref="A26:A31"/>
    <mergeCell ref="L36:L41"/>
    <mergeCell ref="M36:M41"/>
    <mergeCell ref="B38:B39"/>
    <mergeCell ref="F38:F39"/>
    <mergeCell ref="I38:I39"/>
    <mergeCell ref="J38:J39"/>
    <mergeCell ref="K38:K39"/>
    <mergeCell ref="B40:B41"/>
    <mergeCell ref="A36:A41"/>
    <mergeCell ref="B36:B37"/>
    <mergeCell ref="F36:F37"/>
    <mergeCell ref="I36:I37"/>
    <mergeCell ref="J36:J37"/>
    <mergeCell ref="K36:K37"/>
    <mergeCell ref="J40:J41"/>
    <mergeCell ref="K40:K41"/>
    <mergeCell ref="F40:F41"/>
    <mergeCell ref="I40:I41"/>
    <mergeCell ref="F26:F27"/>
    <mergeCell ref="I26:I27"/>
    <mergeCell ref="J26:J27"/>
    <mergeCell ref="K26:K27"/>
    <mergeCell ref="J30:J31"/>
    <mergeCell ref="K30:K31"/>
    <mergeCell ref="M26:M31"/>
    <mergeCell ref="B28:B29"/>
    <mergeCell ref="F28:F29"/>
    <mergeCell ref="I28:I29"/>
    <mergeCell ref="J28:J29"/>
    <mergeCell ref="K28:K29"/>
    <mergeCell ref="B30:B31"/>
    <mergeCell ref="F30:F31"/>
    <mergeCell ref="I30:I31"/>
    <mergeCell ref="B26:B27"/>
    <mergeCell ref="L14:L21"/>
    <mergeCell ref="M14:M21"/>
    <mergeCell ref="B16:B17"/>
    <mergeCell ref="F16:F17"/>
    <mergeCell ref="I16:I17"/>
    <mergeCell ref="J16:J17"/>
    <mergeCell ref="K16:K17"/>
    <mergeCell ref="B18:B19"/>
    <mergeCell ref="F18:F19"/>
    <mergeCell ref="I18:I19"/>
    <mergeCell ref="K14:K15"/>
    <mergeCell ref="J18:J19"/>
    <mergeCell ref="A2:A9"/>
    <mergeCell ref="K18:K19"/>
    <mergeCell ref="B20:B21"/>
    <mergeCell ref="F20:F21"/>
    <mergeCell ref="I20:I21"/>
    <mergeCell ref="J20:J21"/>
    <mergeCell ref="K20:K21"/>
    <mergeCell ref="B8:B9"/>
    <mergeCell ref="F8:F9"/>
    <mergeCell ref="I8:I9"/>
    <mergeCell ref="J8:J9"/>
    <mergeCell ref="K8:K9"/>
    <mergeCell ref="A14:A21"/>
    <mergeCell ref="B14:B15"/>
    <mergeCell ref="F14:F15"/>
    <mergeCell ref="I14:I15"/>
    <mergeCell ref="J14:J15"/>
    <mergeCell ref="B2:B3"/>
    <mergeCell ref="F2:F3"/>
    <mergeCell ref="I2:I3"/>
    <mergeCell ref="J2:J3"/>
    <mergeCell ref="K2:K3"/>
    <mergeCell ref="J6:J7"/>
    <mergeCell ref="K6:K7"/>
    <mergeCell ref="L2:L9"/>
    <mergeCell ref="M2:M9"/>
    <mergeCell ref="B4:B5"/>
    <mergeCell ref="F4:F5"/>
    <mergeCell ref="I4:I5"/>
    <mergeCell ref="J4:J5"/>
    <mergeCell ref="K4:K5"/>
    <mergeCell ref="B6:B7"/>
    <mergeCell ref="F6:F7"/>
    <mergeCell ref="I6:I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Intrachromosomal rad51∆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Kimble</dc:creator>
  <cp:lastModifiedBy>Michael Kimble</cp:lastModifiedBy>
  <dcterms:created xsi:type="dcterms:W3CDTF">2023-06-12T02:03:23Z</dcterms:created>
  <dcterms:modified xsi:type="dcterms:W3CDTF">2023-06-12T02:04:17Z</dcterms:modified>
</cp:coreProperties>
</file>